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5 Viande bovine\"/>
    </mc:Choice>
  </mc:AlternateContent>
  <xr:revisionPtr revIDLastSave="0" documentId="13_ncr:1_{FDA5F07C-06D1-4777-A7F1-E5DE7DD9D53D}" xr6:coauthVersionLast="47" xr6:coauthVersionMax="47" xr10:uidLastSave="{00000000-0000-0000-0000-000000000000}"/>
  <bookViews>
    <workbookView xWindow="-108" yWindow="-108" windowWidth="23256" windowHeight="12576" tabRatio="871" xr2:uid="{E8B10E1F-D64C-47D3-8DAA-FC1296CADBAB}"/>
  </bookViews>
  <sheets>
    <sheet name="Informations générales" sheetId="39" r:id="rId1"/>
    <sheet name="SOMMAIRE" sheetId="40" r:id="rId2"/>
    <sheet name="Lecture du fichier" sheetId="41" r:id="rId3"/>
    <sheet name="Etiquettes" sheetId="8" r:id="rId4"/>
    <sheet name="Produits" sheetId="1" r:id="rId5"/>
    <sheet name="Secteurs" sheetId="2" r:id="rId6"/>
    <sheet name="Structure des flux" sheetId="4" r:id="rId7"/>
    <sheet name="Données" sheetId="5" r:id="rId8"/>
    <sheet name="Abattages - AGRESTE" sheetId="9" r:id="rId9"/>
    <sheet name="Données " sheetId="21" r:id="rId10"/>
    <sheet name="Comext - AGRESTE" sheetId="10" r:id="rId11"/>
    <sheet name="Données  " sheetId="22" r:id="rId12"/>
    <sheet name="Fabrication - PRODCOM" sheetId="11" r:id="rId13"/>
    <sheet name="Données   " sheetId="23" r:id="rId14"/>
    <sheet name="Comext - Eurostat" sheetId="19" r:id="rId15"/>
    <sheet name="Allocation bovins" sheetId="20" r:id="rId16"/>
    <sheet name="Contraintes" sheetId="7" r:id="rId17"/>
    <sheet name=" Données" sheetId="32" state="hidden" r:id="rId18"/>
    <sheet name="Anatomie - Blézat" sheetId="13" r:id="rId19"/>
    <sheet name="Données    " sheetId="24" r:id="rId20"/>
    <sheet name="Contraintes " sheetId="25" r:id="rId21"/>
    <sheet name="  Données" sheetId="33" state="hidden" r:id="rId22"/>
    <sheet name="Coproduits - SIFCO" sheetId="14" r:id="rId23"/>
    <sheet name="Contraintes  " sheetId="30" r:id="rId24"/>
    <sheet name="   Données" sheetId="34" state="hidden" r:id="rId25"/>
    <sheet name="Consommation - IDELE" sheetId="28" r:id="rId26"/>
    <sheet name="Contraintes   " sheetId="31" r:id="rId27"/>
    <sheet name="    Données" sheetId="35" state="hidden" r:id="rId28"/>
    <sheet name="Débouchés abats - Blézat" sheetId="17" r:id="rId29"/>
    <sheet name="Données     " sheetId="37" r:id="rId30"/>
    <sheet name="Comext de viande - Idele" sheetId="36" r:id="rId31"/>
    <sheet name=" Données " sheetId="38" r:id="rId32"/>
    <sheet name="calcul perte de volume carcasse" sheetId="26" state="hidden" r:id="rId33"/>
  </sheets>
  <externalReferences>
    <externalReference r:id="rId34"/>
  </externalReferences>
  <definedNames>
    <definedName name="_xlnm._FilterDatabase" localSheetId="31" hidden="1">' Données '!$A$1:$O$1</definedName>
    <definedName name="_xlnm._FilterDatabase" localSheetId="7" hidden="1">Données!$A$1:$O$1</definedName>
    <definedName name="_xlnm._FilterDatabase" localSheetId="9" hidden="1">'Données '!$A$1:$O$1</definedName>
    <definedName name="_xlnm._FilterDatabase" localSheetId="11" hidden="1">'Données  '!$A$1:$O$1</definedName>
    <definedName name="_xlnm._FilterDatabase" localSheetId="13" hidden="1">'Données   '!$A$1:$O$1</definedName>
    <definedName name="_xlnm._FilterDatabase" localSheetId="19" hidden="1">'Données    '!$A$1:$O$1</definedName>
    <definedName name="_xlnm._FilterDatabase" localSheetId="29"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40" l="1"/>
  <c r="B34" i="40"/>
  <c r="B31" i="40"/>
  <c r="B30" i="40"/>
  <c r="B29" i="40"/>
  <c r="B28" i="40"/>
  <c r="B26" i="40"/>
  <c r="B11" i="40"/>
  <c r="B10" i="40"/>
  <c r="S11" i="31"/>
  <c r="S9" i="31"/>
  <c r="S7" i="31"/>
  <c r="S5" i="31"/>
  <c r="S3" i="31"/>
  <c r="S59" i="30"/>
  <c r="S57" i="30"/>
  <c r="S55" i="30"/>
  <c r="S53" i="30"/>
  <c r="S51" i="30"/>
  <c r="S49" i="30"/>
  <c r="S47" i="30"/>
  <c r="S45" i="30"/>
  <c r="S43" i="30"/>
  <c r="S41" i="30"/>
  <c r="S37" i="30"/>
  <c r="S33" i="30"/>
  <c r="S29" i="30"/>
  <c r="S25" i="30"/>
  <c r="S21" i="30"/>
  <c r="S17" i="30"/>
  <c r="S13" i="30"/>
  <c r="S9" i="30"/>
  <c r="S5" i="30"/>
  <c r="S13" i="25"/>
  <c r="S11" i="25"/>
  <c r="S9" i="25"/>
  <c r="S7" i="25"/>
  <c r="S5" i="25"/>
  <c r="S3" i="25"/>
  <c r="S29" i="7"/>
  <c r="S27" i="7"/>
  <c r="S25" i="7"/>
  <c r="S23" i="7"/>
  <c r="S21" i="7"/>
  <c r="S19" i="7"/>
  <c r="S17" i="7"/>
  <c r="S15" i="7"/>
  <c r="S13" i="7"/>
  <c r="S11" i="7"/>
  <c r="S9" i="7"/>
  <c r="S7" i="7"/>
  <c r="S5" i="7"/>
  <c r="S3" i="7"/>
  <c r="Q13" i="38"/>
  <c r="Q12" i="38"/>
  <c r="Q11" i="38"/>
  <c r="Q10" i="38"/>
  <c r="Q9" i="38"/>
  <c r="Q8" i="38"/>
  <c r="Q7" i="38"/>
  <c r="Q6" i="38"/>
  <c r="Q5" i="38"/>
  <c r="Q4" i="38"/>
  <c r="Q3" i="38"/>
  <c r="Q2" i="38"/>
  <c r="Q13" i="37"/>
  <c r="P13" i="37"/>
  <c r="Q12" i="37"/>
  <c r="P12" i="37"/>
  <c r="Q11" i="37"/>
  <c r="P11" i="37"/>
  <c r="Q10" i="37"/>
  <c r="P10" i="37"/>
  <c r="Q9" i="37"/>
  <c r="P9" i="37"/>
  <c r="Q8" i="37"/>
  <c r="P8" i="37"/>
  <c r="Q7" i="37"/>
  <c r="P7" i="37"/>
  <c r="Q6" i="37"/>
  <c r="P6" i="37"/>
  <c r="Q5" i="37"/>
  <c r="P5" i="37"/>
  <c r="Q4" i="37"/>
  <c r="P4" i="37"/>
  <c r="Q3" i="37"/>
  <c r="P3" i="37"/>
  <c r="Q2" i="37"/>
  <c r="P2" i="37"/>
  <c r="Q55" i="24"/>
  <c r="P55" i="24"/>
  <c r="Q54" i="24"/>
  <c r="P54" i="24"/>
  <c r="Q53" i="24"/>
  <c r="P53" i="24"/>
  <c r="Q52" i="24"/>
  <c r="P52" i="24"/>
  <c r="Q51" i="24"/>
  <c r="P51" i="24"/>
  <c r="Q50" i="24"/>
  <c r="P50" i="24"/>
  <c r="Q49" i="24"/>
  <c r="P49" i="24"/>
  <c r="Q48" i="24"/>
  <c r="P48" i="24"/>
  <c r="Q47" i="24"/>
  <c r="P47" i="24"/>
  <c r="Q46" i="24"/>
  <c r="P46" i="24"/>
  <c r="Q45" i="24"/>
  <c r="P45" i="24"/>
  <c r="Q44" i="24"/>
  <c r="P44" i="24"/>
  <c r="Q43" i="24"/>
  <c r="P43" i="24"/>
  <c r="Q42" i="24"/>
  <c r="P42" i="24"/>
  <c r="Q41" i="24"/>
  <c r="P41" i="24"/>
  <c r="Q40" i="24"/>
  <c r="P40" i="24"/>
  <c r="Q39" i="24"/>
  <c r="P39" i="24"/>
  <c r="Q38" i="24"/>
  <c r="P38" i="24"/>
  <c r="Q37" i="24"/>
  <c r="P37" i="24"/>
  <c r="Q36" i="24"/>
  <c r="P36" i="24"/>
  <c r="Q35" i="24"/>
  <c r="P35" i="24"/>
  <c r="Q34" i="24"/>
  <c r="P34" i="24"/>
  <c r="Q33" i="24"/>
  <c r="P33" i="24"/>
  <c r="Q32"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Q3" i="24"/>
  <c r="P3" i="24"/>
  <c r="Q2" i="24"/>
  <c r="P2" i="24"/>
  <c r="Q13" i="23"/>
  <c r="P13" i="23"/>
  <c r="Q12" i="23"/>
  <c r="P12" i="23"/>
  <c r="Q11" i="23"/>
  <c r="P11" i="23"/>
  <c r="Q10" i="23"/>
  <c r="P10" i="23"/>
  <c r="Q9" i="23"/>
  <c r="P9" i="23"/>
  <c r="Q8" i="23"/>
  <c r="P8" i="23"/>
  <c r="Q7" i="23"/>
  <c r="P7" i="23"/>
  <c r="Q6" i="23"/>
  <c r="P6" i="23"/>
  <c r="Q5" i="23"/>
  <c r="P5" i="23"/>
  <c r="Q4" i="23"/>
  <c r="P4" i="23"/>
  <c r="Q3" i="23"/>
  <c r="P3" i="23"/>
  <c r="Q2" i="23"/>
  <c r="P2" i="23"/>
  <c r="Q8" i="22"/>
  <c r="Q5" i="22"/>
  <c r="Q2" i="22"/>
  <c r="Q10" i="22"/>
  <c r="P10" i="22"/>
  <c r="Q9" i="22"/>
  <c r="P9" i="22"/>
  <c r="Q7" i="22"/>
  <c r="P7" i="22"/>
  <c r="Q6" i="22"/>
  <c r="P6" i="22"/>
  <c r="Q4" i="22"/>
  <c r="P4" i="22"/>
  <c r="Q3" i="22"/>
  <c r="P3" i="22"/>
  <c r="Q13" i="21"/>
  <c r="P13" i="21"/>
  <c r="Q12" i="21"/>
  <c r="P12" i="21"/>
  <c r="Q11" i="21"/>
  <c r="P11" i="21"/>
  <c r="Q10" i="21"/>
  <c r="P10" i="21"/>
  <c r="Q9" i="21"/>
  <c r="P9" i="21"/>
  <c r="Q8" i="21"/>
  <c r="P8" i="21"/>
  <c r="Q7" i="21"/>
  <c r="P7" i="21"/>
  <c r="Q6" i="21"/>
  <c r="P6" i="21"/>
  <c r="Q5" i="21"/>
  <c r="P5" i="21"/>
  <c r="Q4" i="21"/>
  <c r="P4" i="21"/>
  <c r="Q3" i="21"/>
  <c r="P3" i="21"/>
  <c r="Q2" i="21"/>
  <c r="P2" i="21"/>
  <c r="P3" i="5"/>
  <c r="Q3" i="5"/>
  <c r="P4" i="5"/>
  <c r="Q4" i="5"/>
  <c r="P5" i="5"/>
  <c r="Q5" i="5"/>
  <c r="P6" i="5"/>
  <c r="Q6" i="5"/>
  <c r="P7" i="5"/>
  <c r="Q7" i="5"/>
  <c r="Q2" i="5"/>
  <c r="P2" i="5"/>
  <c r="Q1" i="38"/>
  <c r="P1" i="38"/>
  <c r="Q1" i="37"/>
  <c r="P1" i="37"/>
  <c r="S1" i="31"/>
  <c r="R1" i="31"/>
  <c r="S1" i="30"/>
  <c r="R1" i="30"/>
  <c r="S1" i="25"/>
  <c r="R1" i="25"/>
  <c r="Q1" i="24"/>
  <c r="P1" i="24"/>
  <c r="S1" i="7"/>
  <c r="R1" i="7"/>
  <c r="Q1" i="23"/>
  <c r="P1" i="23"/>
  <c r="Q1" i="22"/>
  <c r="P1" i="22"/>
  <c r="Q1" i="21"/>
  <c r="P1" i="21"/>
  <c r="Q1" i="5"/>
  <c r="P1" i="5"/>
  <c r="O1" i="5"/>
  <c r="O13" i="38"/>
  <c r="O12" i="38"/>
  <c r="O11" i="38"/>
  <c r="O10" i="38"/>
  <c r="O9" i="38"/>
  <c r="O8" i="38"/>
  <c r="Q3" i="31"/>
  <c r="Q5" i="31"/>
  <c r="Q7" i="31"/>
  <c r="Q9" i="31"/>
  <c r="Q11" i="31"/>
  <c r="Q13" i="25"/>
  <c r="Q11" i="25"/>
  <c r="Q9" i="25"/>
  <c r="Q7" i="25"/>
  <c r="Q5" i="25"/>
  <c r="Q3" i="25"/>
  <c r="O3" i="24"/>
  <c r="O4" i="24"/>
  <c r="O5"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2" i="24"/>
  <c r="D15" i="13"/>
  <c r="B13" i="38"/>
  <c r="B10" i="38"/>
  <c r="B12" i="38"/>
  <c r="B11" i="38"/>
  <c r="B9" i="38"/>
  <c r="B8" i="38"/>
  <c r="A13" i="38"/>
  <c r="A12" i="38"/>
  <c r="A11" i="38"/>
  <c r="A10" i="38"/>
  <c r="A9" i="38"/>
  <c r="A8" i="38"/>
  <c r="B6" i="38"/>
  <c r="B7" i="38"/>
  <c r="B5" i="38"/>
  <c r="A7" i="38"/>
  <c r="A6" i="38"/>
  <c r="A5" i="38"/>
  <c r="O5" i="38"/>
  <c r="O6" i="38"/>
  <c r="O7" i="38"/>
  <c r="O4" i="38"/>
  <c r="B4" i="38"/>
  <c r="A4" i="38"/>
  <c r="O3" i="38"/>
  <c r="O2" i="38"/>
  <c r="B3" i="38"/>
  <c r="B2" i="38"/>
  <c r="A3" i="38"/>
  <c r="A2" i="38"/>
  <c r="H13" i="38"/>
  <c r="F13" i="38"/>
  <c r="E13" i="38"/>
  <c r="H12" i="38"/>
  <c r="F12" i="38"/>
  <c r="E12" i="38"/>
  <c r="H11" i="38"/>
  <c r="F11" i="38"/>
  <c r="E11" i="38"/>
  <c r="H10" i="38"/>
  <c r="F10" i="38"/>
  <c r="E10" i="38"/>
  <c r="H9" i="38"/>
  <c r="F9" i="38"/>
  <c r="E9" i="38"/>
  <c r="H8" i="38"/>
  <c r="F8" i="38"/>
  <c r="E8" i="38"/>
  <c r="H7" i="38"/>
  <c r="F7" i="38"/>
  <c r="E7" i="38"/>
  <c r="H6" i="38"/>
  <c r="F6" i="38"/>
  <c r="E6" i="38"/>
  <c r="H5" i="38"/>
  <c r="F5" i="38"/>
  <c r="E5" i="38"/>
  <c r="H4" i="38"/>
  <c r="F4" i="38"/>
  <c r="E4" i="38"/>
  <c r="H3" i="38"/>
  <c r="F3" i="38"/>
  <c r="E3" i="38"/>
  <c r="H2" i="38"/>
  <c r="F2" i="38"/>
  <c r="E2" i="38"/>
  <c r="O1" i="38"/>
  <c r="N1" i="38"/>
  <c r="M1" i="38"/>
  <c r="L1" i="38"/>
  <c r="K1" i="38"/>
  <c r="J1" i="38"/>
  <c r="I1" i="38"/>
  <c r="H1" i="38"/>
  <c r="G1" i="38"/>
  <c r="F1" i="38"/>
  <c r="E1" i="38"/>
  <c r="M59" i="28"/>
  <c r="B40" i="30"/>
  <c r="B36" i="30"/>
  <c r="B32" i="30"/>
  <c r="B28" i="30"/>
  <c r="B24" i="30"/>
  <c r="B20" i="30"/>
  <c r="B16" i="30"/>
  <c r="B12" i="30"/>
  <c r="B8" i="30"/>
  <c r="B4" i="30"/>
  <c r="O7" i="5"/>
  <c r="O6" i="5"/>
  <c r="O5" i="5"/>
  <c r="O4" i="5"/>
  <c r="O3" i="5"/>
  <c r="O2" i="5"/>
  <c r="O13" i="21"/>
  <c r="O12" i="21"/>
  <c r="O11" i="21"/>
  <c r="O10" i="21"/>
  <c r="O9" i="21"/>
  <c r="O8" i="21"/>
  <c r="O7" i="21"/>
  <c r="O6" i="21"/>
  <c r="O5" i="21"/>
  <c r="O4" i="21"/>
  <c r="O3" i="21"/>
  <c r="O2" i="21"/>
  <c r="O10" i="22"/>
  <c r="O9" i="22"/>
  <c r="O8" i="22"/>
  <c r="O7" i="22"/>
  <c r="O6" i="22"/>
  <c r="O5" i="22"/>
  <c r="O4" i="22"/>
  <c r="O3" i="22"/>
  <c r="O2" i="22"/>
  <c r="O4" i="23"/>
  <c r="O5" i="23"/>
  <c r="O6" i="23"/>
  <c r="O7" i="23"/>
  <c r="O8" i="23"/>
  <c r="O9" i="23"/>
  <c r="O10" i="23"/>
  <c r="O11" i="23"/>
  <c r="O12" i="23"/>
  <c r="O13" i="23"/>
  <c r="O2" i="23"/>
  <c r="O3" i="23"/>
  <c r="Q5" i="7"/>
  <c r="Q7" i="7"/>
  <c r="Q9" i="7"/>
  <c r="Q11" i="7"/>
  <c r="Q13" i="7"/>
  <c r="Q15" i="7"/>
  <c r="Q17" i="7"/>
  <c r="Q19" i="7"/>
  <c r="Q21" i="7"/>
  <c r="Q23" i="7"/>
  <c r="Q25" i="7"/>
  <c r="Q27" i="7"/>
  <c r="Q29" i="7"/>
  <c r="Q3" i="7"/>
  <c r="Q43" i="30"/>
  <c r="Q45" i="30"/>
  <c r="Q47" i="30"/>
  <c r="Q49" i="30"/>
  <c r="Q51" i="30"/>
  <c r="Q53" i="30"/>
  <c r="Q55" i="30"/>
  <c r="Q57" i="30"/>
  <c r="Q59" i="30"/>
  <c r="Q9" i="30"/>
  <c r="Q13" i="30"/>
  <c r="Q17" i="30"/>
  <c r="Q21" i="30"/>
  <c r="Q25" i="30"/>
  <c r="Q29" i="30"/>
  <c r="Q33" i="30"/>
  <c r="Q37" i="30"/>
  <c r="Q41" i="30"/>
  <c r="Q5" i="30"/>
  <c r="O3" i="37"/>
  <c r="O4" i="37"/>
  <c r="O5" i="37"/>
  <c r="O6" i="37"/>
  <c r="O7" i="37"/>
  <c r="O8" i="37"/>
  <c r="O9" i="37"/>
  <c r="O10" i="37"/>
  <c r="O11" i="37"/>
  <c r="O12" i="37"/>
  <c r="O13" i="37"/>
  <c r="O2" i="37"/>
  <c r="C11" i="37"/>
  <c r="C12" i="37"/>
  <c r="C13" i="37"/>
  <c r="C7" i="37"/>
  <c r="N7" i="37" s="1"/>
  <c r="C8" i="37"/>
  <c r="N8" i="37" s="1"/>
  <c r="C9" i="37"/>
  <c r="C10" i="37"/>
  <c r="N10" i="37" s="1"/>
  <c r="C6" i="37"/>
  <c r="C3" i="37"/>
  <c r="C4" i="37"/>
  <c r="C5" i="37"/>
  <c r="C2" i="37"/>
  <c r="N2" i="37" s="1"/>
  <c r="A13" i="37"/>
  <c r="A12" i="37"/>
  <c r="B11" i="37"/>
  <c r="B10" i="37"/>
  <c r="A9" i="37"/>
  <c r="A8" i="37"/>
  <c r="B7" i="37"/>
  <c r="B6" i="37"/>
  <c r="A5" i="37"/>
  <c r="A4" i="37"/>
  <c r="B3" i="37"/>
  <c r="B2" i="37"/>
  <c r="M13" i="37"/>
  <c r="H13" i="37"/>
  <c r="G13" i="37"/>
  <c r="F13" i="37"/>
  <c r="E13" i="37"/>
  <c r="B13" i="37"/>
  <c r="M12" i="37"/>
  <c r="H12" i="37"/>
  <c r="G12" i="37"/>
  <c r="F12" i="37"/>
  <c r="E12" i="37"/>
  <c r="B12" i="37"/>
  <c r="M11" i="37"/>
  <c r="H11" i="37"/>
  <c r="G11" i="37"/>
  <c r="F11" i="37"/>
  <c r="E11" i="37"/>
  <c r="N11" i="37"/>
  <c r="A11" i="37"/>
  <c r="M10" i="37"/>
  <c r="H10" i="37"/>
  <c r="G10" i="37"/>
  <c r="F10" i="37"/>
  <c r="E10" i="37"/>
  <c r="A10" i="37"/>
  <c r="M9" i="37"/>
  <c r="H9" i="37"/>
  <c r="G9" i="37"/>
  <c r="F9" i="37"/>
  <c r="E9" i="37"/>
  <c r="B9" i="37"/>
  <c r="M8" i="37"/>
  <c r="H8" i="37"/>
  <c r="G8" i="37"/>
  <c r="F8" i="37"/>
  <c r="E8" i="37"/>
  <c r="B8" i="37"/>
  <c r="M7" i="37"/>
  <c r="H7" i="37"/>
  <c r="G7" i="37"/>
  <c r="F7" i="37"/>
  <c r="E7" i="37"/>
  <c r="A7" i="37"/>
  <c r="M6" i="37"/>
  <c r="H6" i="37"/>
  <c r="G6" i="37"/>
  <c r="F6" i="37"/>
  <c r="E6" i="37"/>
  <c r="A6" i="37"/>
  <c r="M5" i="37"/>
  <c r="H5" i="37"/>
  <c r="G5" i="37"/>
  <c r="F5" i="37"/>
  <c r="E5" i="37"/>
  <c r="B5" i="37"/>
  <c r="M4" i="37"/>
  <c r="H4" i="37"/>
  <c r="G4" i="37"/>
  <c r="F4" i="37"/>
  <c r="E4" i="37"/>
  <c r="B4" i="37"/>
  <c r="M3" i="37"/>
  <c r="H3" i="37"/>
  <c r="G3" i="37"/>
  <c r="F3" i="37"/>
  <c r="E3" i="37"/>
  <c r="N3" i="37"/>
  <c r="A3" i="37"/>
  <c r="M2" i="37"/>
  <c r="H2" i="37"/>
  <c r="G2" i="37"/>
  <c r="F2" i="37"/>
  <c r="E2" i="37"/>
  <c r="A2" i="37"/>
  <c r="O1" i="37"/>
  <c r="N1" i="37"/>
  <c r="M1" i="37"/>
  <c r="L1" i="37"/>
  <c r="K1" i="37"/>
  <c r="J1" i="37"/>
  <c r="I1" i="37"/>
  <c r="H1" i="37"/>
  <c r="G1" i="37"/>
  <c r="F1" i="37"/>
  <c r="E1" i="37"/>
  <c r="O9" i="36"/>
  <c r="O8" i="36"/>
  <c r="O7" i="36"/>
  <c r="O6" i="36"/>
  <c r="N9" i="36"/>
  <c r="N8" i="36"/>
  <c r="N7" i="36"/>
  <c r="N6" i="36"/>
  <c r="M9" i="36"/>
  <c r="M8" i="36"/>
  <c r="M7" i="36"/>
  <c r="M6" i="36"/>
  <c r="I28" i="36"/>
  <c r="D28" i="36"/>
  <c r="G28" i="36" s="1"/>
  <c r="H28" i="36" s="1"/>
  <c r="I27" i="36"/>
  <c r="G27" i="36"/>
  <c r="H27" i="36" s="1"/>
  <c r="I26" i="36"/>
  <c r="G26" i="36"/>
  <c r="H26" i="36" s="1"/>
  <c r="I25" i="36"/>
  <c r="G25" i="36"/>
  <c r="H25" i="36" s="1"/>
  <c r="I24" i="36"/>
  <c r="H24" i="36"/>
  <c r="G24" i="36"/>
  <c r="I23" i="36"/>
  <c r="G23" i="36"/>
  <c r="H23" i="36" s="1"/>
  <c r="I22" i="36"/>
  <c r="G22" i="36"/>
  <c r="H22" i="36" s="1"/>
  <c r="I21" i="36"/>
  <c r="G21" i="36"/>
  <c r="H21" i="36" s="1"/>
  <c r="I20" i="36"/>
  <c r="H20" i="36"/>
  <c r="G20" i="36"/>
  <c r="I19" i="36"/>
  <c r="G19" i="36"/>
  <c r="H19" i="36" s="1"/>
  <c r="I18" i="36"/>
  <c r="H18" i="36"/>
  <c r="G18" i="36"/>
  <c r="I17" i="36"/>
  <c r="G17" i="36"/>
  <c r="H17" i="36" s="1"/>
  <c r="I16" i="36"/>
  <c r="H16" i="36"/>
  <c r="G16" i="36"/>
  <c r="I15" i="36"/>
  <c r="G15" i="36"/>
  <c r="H15" i="36" s="1"/>
  <c r="I14" i="36"/>
  <c r="G14" i="36"/>
  <c r="H14" i="36" s="1"/>
  <c r="I13" i="36"/>
  <c r="G13" i="36"/>
  <c r="H13" i="36" s="1"/>
  <c r="I12" i="36"/>
  <c r="H12" i="36"/>
  <c r="G12" i="36"/>
  <c r="I11" i="36"/>
  <c r="G11" i="36"/>
  <c r="H11" i="36" s="1"/>
  <c r="I10" i="36"/>
  <c r="H10" i="36"/>
  <c r="G10" i="36"/>
  <c r="I9" i="36"/>
  <c r="G9" i="36"/>
  <c r="H9" i="36" s="1"/>
  <c r="I8" i="36"/>
  <c r="H8" i="36"/>
  <c r="G8" i="36"/>
  <c r="I7" i="36"/>
  <c r="G7" i="36"/>
  <c r="H7" i="36" s="1"/>
  <c r="I6" i="36"/>
  <c r="G6" i="36"/>
  <c r="H6" i="36" s="1"/>
  <c r="I5" i="36"/>
  <c r="G5" i="36"/>
  <c r="H5" i="36" s="1"/>
  <c r="I4" i="36"/>
  <c r="H4" i="36"/>
  <c r="G4" i="36"/>
  <c r="D40" i="30"/>
  <c r="D39" i="30"/>
  <c r="D38" i="30"/>
  <c r="D36" i="30"/>
  <c r="D35" i="30"/>
  <c r="D34" i="30"/>
  <c r="D32" i="30"/>
  <c r="D31" i="30"/>
  <c r="D30" i="30"/>
  <c r="D28" i="30"/>
  <c r="D27" i="30"/>
  <c r="D26" i="30"/>
  <c r="D24" i="30"/>
  <c r="D23" i="30"/>
  <c r="D22" i="30"/>
  <c r="J40" i="30"/>
  <c r="I40" i="30"/>
  <c r="H40" i="30"/>
  <c r="G40" i="30"/>
  <c r="C40" i="30"/>
  <c r="J36" i="30"/>
  <c r="I36" i="30"/>
  <c r="H36" i="30"/>
  <c r="G36" i="30"/>
  <c r="C36" i="30"/>
  <c r="J32" i="30"/>
  <c r="I32" i="30"/>
  <c r="H32" i="30"/>
  <c r="G32" i="30"/>
  <c r="C32" i="30"/>
  <c r="J28" i="30"/>
  <c r="I28" i="30"/>
  <c r="H28" i="30"/>
  <c r="G28" i="30"/>
  <c r="C28" i="30"/>
  <c r="I24" i="30"/>
  <c r="J24" i="30"/>
  <c r="H24" i="30"/>
  <c r="G24" i="30"/>
  <c r="C24" i="30"/>
  <c r="D20" i="30"/>
  <c r="D19" i="30"/>
  <c r="D18" i="30"/>
  <c r="P21" i="30" s="1"/>
  <c r="C21" i="30"/>
  <c r="O21" i="30"/>
  <c r="J21" i="30"/>
  <c r="I21" i="30"/>
  <c r="H21" i="30"/>
  <c r="G21" i="30"/>
  <c r="B21" i="30"/>
  <c r="J20" i="30"/>
  <c r="I20" i="30"/>
  <c r="H20" i="30"/>
  <c r="G20" i="30"/>
  <c r="C20" i="30"/>
  <c r="J19" i="30"/>
  <c r="I19" i="30"/>
  <c r="H19" i="30"/>
  <c r="G19" i="30"/>
  <c r="C19" i="30"/>
  <c r="B19" i="30"/>
  <c r="J18" i="30"/>
  <c r="I18" i="30"/>
  <c r="H18" i="30"/>
  <c r="G18" i="30"/>
  <c r="C18" i="30"/>
  <c r="B18" i="30"/>
  <c r="D16" i="30"/>
  <c r="D15" i="30"/>
  <c r="D14" i="30"/>
  <c r="D12" i="30"/>
  <c r="D11" i="30"/>
  <c r="D10" i="30"/>
  <c r="D8" i="30"/>
  <c r="D7" i="30"/>
  <c r="D6" i="30"/>
  <c r="P9" i="30" s="1"/>
  <c r="J16" i="30"/>
  <c r="I16" i="30"/>
  <c r="H16" i="30"/>
  <c r="G16" i="30"/>
  <c r="C16" i="30"/>
  <c r="J12" i="30"/>
  <c r="I12" i="30"/>
  <c r="H12" i="30"/>
  <c r="G12" i="30"/>
  <c r="C12" i="30"/>
  <c r="J8" i="30"/>
  <c r="I8" i="30"/>
  <c r="H8" i="30"/>
  <c r="G8" i="30"/>
  <c r="C8" i="30"/>
  <c r="D4" i="30"/>
  <c r="D3" i="30"/>
  <c r="D2" i="30"/>
  <c r="C4" i="30"/>
  <c r="J4" i="30"/>
  <c r="I4" i="30"/>
  <c r="H4" i="30"/>
  <c r="G4" i="30"/>
  <c r="M61" i="28"/>
  <c r="M60" i="28"/>
  <c r="M63" i="28"/>
  <c r="M62" i="28"/>
  <c r="N63" i="28"/>
  <c r="N62" i="28"/>
  <c r="N61" i="28"/>
  <c r="N60" i="28"/>
  <c r="N59" i="28"/>
  <c r="L7" i="37" a="1"/>
  <c r="L3" i="37" a="1"/>
  <c r="G12" i="8" a="1"/>
  <c r="L11" i="37" a="1"/>
  <c r="L4" i="37" a="1"/>
  <c r="G10" i="8" a="1"/>
  <c r="L13" i="37" a="1"/>
  <c r="L10" i="37" a="1"/>
  <c r="G8" i="8" a="1"/>
  <c r="L6" i="37" a="1"/>
  <c r="L2" i="37" a="1"/>
  <c r="L9" i="37" a="1"/>
  <c r="L12" i="37" a="1"/>
  <c r="G9" i="8" a="1"/>
  <c r="L5" i="37" a="1"/>
  <c r="L8" i="37" a="1"/>
  <c r="N21" i="30" a="1"/>
  <c r="N9" i="37" l="1"/>
  <c r="N5" i="37"/>
  <c r="N13" i="37"/>
  <c r="N4" i="37"/>
  <c r="N12" i="37"/>
  <c r="N6" i="37"/>
  <c r="G12" i="8"/>
  <c r="G10" i="8"/>
  <c r="G9" i="8"/>
  <c r="G8" i="8"/>
  <c r="L6" i="37"/>
  <c r="L10" i="37"/>
  <c r="L13" i="37"/>
  <c r="L9" i="37"/>
  <c r="L5" i="37"/>
  <c r="L12" i="37"/>
  <c r="L8" i="37"/>
  <c r="L4" i="37"/>
  <c r="L11" i="37"/>
  <c r="L7" i="37"/>
  <c r="L3" i="37"/>
  <c r="L2" i="37"/>
  <c r="N21" i="30"/>
  <c r="C4" i="24"/>
  <c r="C3" i="24"/>
  <c r="C2" i="24"/>
  <c r="C20" i="24"/>
  <c r="F20" i="14"/>
  <c r="D19" i="14"/>
  <c r="N8" i="22"/>
  <c r="N5" i="22"/>
  <c r="N2" i="22"/>
  <c r="D21" i="1"/>
  <c r="B7" i="5" l="1"/>
  <c r="B6" i="5"/>
  <c r="B5" i="5"/>
  <c r="B4" i="5"/>
  <c r="B3" i="5"/>
  <c r="B2" i="5"/>
  <c r="D10" i="31"/>
  <c r="P11" i="31" s="1"/>
  <c r="D8" i="31"/>
  <c r="P9" i="31" s="1"/>
  <c r="D6" i="31"/>
  <c r="D4" i="31"/>
  <c r="D2" i="31"/>
  <c r="C3" i="31"/>
  <c r="B3" i="31"/>
  <c r="B4" i="31"/>
  <c r="B5" i="31"/>
  <c r="B6" i="31"/>
  <c r="B7" i="31"/>
  <c r="B8" i="31"/>
  <c r="B9" i="31"/>
  <c r="B10" i="31"/>
  <c r="B11" i="31"/>
  <c r="B2" i="31"/>
  <c r="O11" i="31"/>
  <c r="J11" i="31"/>
  <c r="H11" i="31"/>
  <c r="G11" i="31"/>
  <c r="J10" i="31"/>
  <c r="H10" i="31"/>
  <c r="G10" i="31"/>
  <c r="C10" i="31"/>
  <c r="O9" i="31"/>
  <c r="J9" i="31"/>
  <c r="H9" i="31"/>
  <c r="G9" i="31"/>
  <c r="C7" i="31"/>
  <c r="J8" i="31"/>
  <c r="H8" i="31"/>
  <c r="G8" i="31"/>
  <c r="C8" i="31"/>
  <c r="O7" i="31"/>
  <c r="J7" i="31"/>
  <c r="H7" i="31"/>
  <c r="G7" i="31"/>
  <c r="C11" i="31"/>
  <c r="J6" i="31"/>
  <c r="H6" i="31"/>
  <c r="G6" i="31"/>
  <c r="P7" i="31"/>
  <c r="C6" i="31"/>
  <c r="O5" i="31"/>
  <c r="J5" i="31"/>
  <c r="H5" i="31"/>
  <c r="G5" i="31"/>
  <c r="C9" i="31"/>
  <c r="J4" i="31"/>
  <c r="H4" i="31"/>
  <c r="G4" i="31"/>
  <c r="P5" i="31"/>
  <c r="C4" i="31"/>
  <c r="O3" i="31"/>
  <c r="J3" i="31"/>
  <c r="H3" i="31"/>
  <c r="G3" i="31"/>
  <c r="C5" i="31"/>
  <c r="J2" i="31"/>
  <c r="H2" i="31"/>
  <c r="G2" i="31"/>
  <c r="P3" i="31"/>
  <c r="C2" i="31"/>
  <c r="Q1" i="31"/>
  <c r="P1" i="31"/>
  <c r="O1" i="31"/>
  <c r="N1" i="31"/>
  <c r="M1" i="31"/>
  <c r="L1" i="31"/>
  <c r="K1" i="31"/>
  <c r="J1" i="31"/>
  <c r="I1" i="31"/>
  <c r="H1" i="31"/>
  <c r="G1" i="31"/>
  <c r="M16" i="17"/>
  <c r="M17" i="17"/>
  <c r="M18" i="17"/>
  <c r="M19" i="17"/>
  <c r="M15" i="17"/>
  <c r="L15" i="17"/>
  <c r="L20" i="17"/>
  <c r="F18" i="1"/>
  <c r="G18" i="1"/>
  <c r="H18" i="1"/>
  <c r="B53" i="30"/>
  <c r="B54" i="30"/>
  <c r="B55" i="30"/>
  <c r="B56" i="30"/>
  <c r="B57" i="30"/>
  <c r="B58" i="30"/>
  <c r="B59" i="30"/>
  <c r="B52" i="30"/>
  <c r="B13" i="4"/>
  <c r="B34" i="4" s="1"/>
  <c r="B12" i="4"/>
  <c r="B33" i="4" s="1"/>
  <c r="D58" i="30"/>
  <c r="P59" i="30" s="1"/>
  <c r="D56" i="30"/>
  <c r="P57" i="30" s="1"/>
  <c r="D54" i="30"/>
  <c r="P55" i="30" s="1"/>
  <c r="D52" i="30"/>
  <c r="P53" i="30" s="1"/>
  <c r="O59" i="30"/>
  <c r="J59" i="30"/>
  <c r="H59" i="30"/>
  <c r="G59" i="30"/>
  <c r="C59" i="30"/>
  <c r="J58" i="30"/>
  <c r="H58" i="30"/>
  <c r="G58" i="30"/>
  <c r="C58" i="30"/>
  <c r="O57" i="30"/>
  <c r="J57" i="30"/>
  <c r="H57" i="30"/>
  <c r="G57" i="30"/>
  <c r="C57" i="30"/>
  <c r="J56" i="30"/>
  <c r="H56" i="30"/>
  <c r="G56" i="30"/>
  <c r="C56" i="30"/>
  <c r="O55" i="30"/>
  <c r="J55" i="30"/>
  <c r="H55" i="30"/>
  <c r="G55" i="30"/>
  <c r="C55" i="30"/>
  <c r="J54" i="30"/>
  <c r="H54" i="30"/>
  <c r="G54" i="30"/>
  <c r="C54" i="30"/>
  <c r="O53" i="30"/>
  <c r="J53" i="30"/>
  <c r="H53" i="30"/>
  <c r="G53" i="30"/>
  <c r="C53" i="30"/>
  <c r="J52" i="30"/>
  <c r="H52" i="30"/>
  <c r="G52" i="30"/>
  <c r="C52" i="30"/>
  <c r="D50" i="30"/>
  <c r="P51" i="30" s="1"/>
  <c r="D48" i="30"/>
  <c r="P49" i="30" s="1"/>
  <c r="D46" i="30"/>
  <c r="P47" i="30" s="1"/>
  <c r="D44" i="30"/>
  <c r="P45" i="30" s="1"/>
  <c r="D42" i="30"/>
  <c r="P43" i="30" s="1"/>
  <c r="I43" i="30"/>
  <c r="I44" i="30"/>
  <c r="I45" i="30"/>
  <c r="I46" i="30"/>
  <c r="I47" i="30"/>
  <c r="I48" i="30"/>
  <c r="I49" i="30"/>
  <c r="I50" i="30"/>
  <c r="I51" i="30"/>
  <c r="I42" i="30"/>
  <c r="C50" i="30"/>
  <c r="C48" i="30"/>
  <c r="C46" i="30"/>
  <c r="C44" i="30"/>
  <c r="B44" i="30"/>
  <c r="B45" i="30"/>
  <c r="B46" i="30"/>
  <c r="B47" i="30"/>
  <c r="B48" i="30"/>
  <c r="B49" i="30"/>
  <c r="B50" i="30"/>
  <c r="B51" i="30"/>
  <c r="C42" i="30"/>
  <c r="B42" i="30"/>
  <c r="B5" i="30"/>
  <c r="B9" i="30"/>
  <c r="B13" i="30"/>
  <c r="B17" i="30"/>
  <c r="B25" i="30"/>
  <c r="B29" i="30"/>
  <c r="B33" i="30"/>
  <c r="B37" i="30"/>
  <c r="B41" i="30"/>
  <c r="B43" i="30"/>
  <c r="O51" i="30"/>
  <c r="J51" i="30"/>
  <c r="H51" i="30"/>
  <c r="G51" i="30"/>
  <c r="C51" i="30"/>
  <c r="J50" i="30"/>
  <c r="H50" i="30"/>
  <c r="G50" i="30"/>
  <c r="O49" i="30"/>
  <c r="J49" i="30"/>
  <c r="H49" i="30"/>
  <c r="G49" i="30"/>
  <c r="C49" i="30"/>
  <c r="J48" i="30"/>
  <c r="H48" i="30"/>
  <c r="G48" i="30"/>
  <c r="O47" i="30"/>
  <c r="J47" i="30"/>
  <c r="H47" i="30"/>
  <c r="G47" i="30"/>
  <c r="C47" i="30"/>
  <c r="J46" i="30"/>
  <c r="H46" i="30"/>
  <c r="G46" i="30"/>
  <c r="O45" i="30"/>
  <c r="J45" i="30"/>
  <c r="H45" i="30"/>
  <c r="G45" i="30"/>
  <c r="C45" i="30"/>
  <c r="J44" i="30"/>
  <c r="H44" i="30"/>
  <c r="G44" i="30"/>
  <c r="O43" i="30"/>
  <c r="J43" i="30"/>
  <c r="H43" i="30"/>
  <c r="G43" i="30"/>
  <c r="C43" i="30"/>
  <c r="J42" i="30"/>
  <c r="H42" i="30"/>
  <c r="G42" i="30"/>
  <c r="P41" i="30"/>
  <c r="P37" i="30"/>
  <c r="P33" i="30"/>
  <c r="P29" i="30"/>
  <c r="P25" i="30"/>
  <c r="I22" i="30"/>
  <c r="I23" i="30"/>
  <c r="I25" i="30"/>
  <c r="I26" i="30"/>
  <c r="I27" i="30"/>
  <c r="I29" i="30"/>
  <c r="I30" i="30"/>
  <c r="I31" i="30"/>
  <c r="I33" i="30"/>
  <c r="I34" i="30"/>
  <c r="I35" i="30"/>
  <c r="I37" i="30"/>
  <c r="I38" i="30"/>
  <c r="I39" i="30"/>
  <c r="I41" i="30"/>
  <c r="C41" i="30"/>
  <c r="O41" i="30"/>
  <c r="J41" i="30"/>
  <c r="H41" i="30"/>
  <c r="G41" i="30"/>
  <c r="J39" i="30"/>
  <c r="H39" i="30"/>
  <c r="G39" i="30"/>
  <c r="C39" i="30"/>
  <c r="B39" i="30"/>
  <c r="J38" i="30"/>
  <c r="H38" i="30"/>
  <c r="G38" i="30"/>
  <c r="C38" i="30"/>
  <c r="B38" i="30"/>
  <c r="O37" i="30"/>
  <c r="J37" i="30"/>
  <c r="H37" i="30"/>
  <c r="G37" i="30"/>
  <c r="C37" i="30"/>
  <c r="J35" i="30"/>
  <c r="H35" i="30"/>
  <c r="G35" i="30"/>
  <c r="C35" i="30"/>
  <c r="B35" i="30"/>
  <c r="J34" i="30"/>
  <c r="H34" i="30"/>
  <c r="G34" i="30"/>
  <c r="C34" i="30"/>
  <c r="B34" i="30"/>
  <c r="O33" i="30"/>
  <c r="J33" i="30"/>
  <c r="H33" i="30"/>
  <c r="G33" i="30"/>
  <c r="C33" i="30"/>
  <c r="J31" i="30"/>
  <c r="H31" i="30"/>
  <c r="G31" i="30"/>
  <c r="C31" i="30"/>
  <c r="B31" i="30"/>
  <c r="J30" i="30"/>
  <c r="H30" i="30"/>
  <c r="G30" i="30"/>
  <c r="C30" i="30"/>
  <c r="B30" i="30"/>
  <c r="O29" i="30"/>
  <c r="J29" i="30"/>
  <c r="H29" i="30"/>
  <c r="G29" i="30"/>
  <c r="C29" i="30"/>
  <c r="J27" i="30"/>
  <c r="H27" i="30"/>
  <c r="G27" i="30"/>
  <c r="C27" i="30"/>
  <c r="B27" i="30"/>
  <c r="J26" i="30"/>
  <c r="H26" i="30"/>
  <c r="G26" i="30"/>
  <c r="C26" i="30"/>
  <c r="B26" i="30"/>
  <c r="O25" i="30"/>
  <c r="J25" i="30"/>
  <c r="H25" i="30"/>
  <c r="G25" i="30"/>
  <c r="C25" i="30"/>
  <c r="J23" i="30"/>
  <c r="H23" i="30"/>
  <c r="G23" i="30"/>
  <c r="C23" i="30"/>
  <c r="B23" i="30"/>
  <c r="J22" i="30"/>
  <c r="H22" i="30"/>
  <c r="G22" i="30"/>
  <c r="C22" i="30"/>
  <c r="B22" i="30"/>
  <c r="P17" i="30"/>
  <c r="P13" i="30"/>
  <c r="P5" i="30"/>
  <c r="C17" i="30"/>
  <c r="C13" i="30"/>
  <c r="C9" i="30"/>
  <c r="C5" i="30"/>
  <c r="O17" i="30"/>
  <c r="J17" i="30"/>
  <c r="I17" i="30"/>
  <c r="H17" i="30"/>
  <c r="G17" i="30"/>
  <c r="J15" i="30"/>
  <c r="I15" i="30"/>
  <c r="H15" i="30"/>
  <c r="G15" i="30"/>
  <c r="C15" i="30"/>
  <c r="B15" i="30"/>
  <c r="J14" i="30"/>
  <c r="I14" i="30"/>
  <c r="H14" i="30"/>
  <c r="G14" i="30"/>
  <c r="C14" i="30"/>
  <c r="B14" i="30"/>
  <c r="O13" i="30"/>
  <c r="J13" i="30"/>
  <c r="I13" i="30"/>
  <c r="H13" i="30"/>
  <c r="G13" i="30"/>
  <c r="J11" i="30"/>
  <c r="I11" i="30"/>
  <c r="H11" i="30"/>
  <c r="G11" i="30"/>
  <c r="C11" i="30"/>
  <c r="B11" i="30"/>
  <c r="J10" i="30"/>
  <c r="I10" i="30"/>
  <c r="H10" i="30"/>
  <c r="G10" i="30"/>
  <c r="C10" i="30"/>
  <c r="B10" i="30"/>
  <c r="O9" i="30"/>
  <c r="J9" i="30"/>
  <c r="I9" i="30"/>
  <c r="H9" i="30"/>
  <c r="G9" i="30"/>
  <c r="J7" i="30"/>
  <c r="I7" i="30"/>
  <c r="H7" i="30"/>
  <c r="G7" i="30"/>
  <c r="C7" i="30"/>
  <c r="B7" i="30"/>
  <c r="J6" i="30"/>
  <c r="I6" i="30"/>
  <c r="H6" i="30"/>
  <c r="G6" i="30"/>
  <c r="C6" i="30"/>
  <c r="B6" i="30"/>
  <c r="O5" i="30"/>
  <c r="J5" i="30"/>
  <c r="I5" i="30"/>
  <c r="H5" i="30"/>
  <c r="G5" i="30"/>
  <c r="J3" i="30"/>
  <c r="I3" i="30"/>
  <c r="H3" i="30"/>
  <c r="G3" i="30"/>
  <c r="C3" i="30"/>
  <c r="B3" i="30"/>
  <c r="J2" i="30"/>
  <c r="I2" i="30"/>
  <c r="H2" i="30"/>
  <c r="G2" i="30"/>
  <c r="C2" i="30"/>
  <c r="B2" i="30"/>
  <c r="Q1" i="30"/>
  <c r="P1" i="30"/>
  <c r="O1" i="30"/>
  <c r="N1" i="30"/>
  <c r="M1" i="30"/>
  <c r="L1" i="30"/>
  <c r="K1" i="30"/>
  <c r="J1" i="30"/>
  <c r="I1" i="30"/>
  <c r="H1" i="30"/>
  <c r="G1" i="30"/>
  <c r="G214" i="28"/>
  <c r="G161" i="28"/>
  <c r="L92" i="28"/>
  <c r="M37" i="28"/>
  <c r="C17" i="7"/>
  <c r="C3" i="7"/>
  <c r="E19" i="1"/>
  <c r="D19" i="1"/>
  <c r="E20" i="1"/>
  <c r="D20" i="1"/>
  <c r="B18" i="1"/>
  <c r="D4" i="25"/>
  <c r="P5" i="25" s="1"/>
  <c r="D8" i="25"/>
  <c r="P9" i="25" s="1"/>
  <c r="D2" i="25"/>
  <c r="P3" i="25" s="1"/>
  <c r="D6" i="25"/>
  <c r="P7" i="25" s="1"/>
  <c r="I7" i="25"/>
  <c r="I8" i="25"/>
  <c r="I9" i="25"/>
  <c r="I6" i="25"/>
  <c r="I3" i="25"/>
  <c r="I4" i="25"/>
  <c r="I5" i="25"/>
  <c r="I2" i="25"/>
  <c r="O9" i="25"/>
  <c r="J9" i="25"/>
  <c r="H9" i="25"/>
  <c r="G9" i="25"/>
  <c r="C9" i="25"/>
  <c r="B9" i="25"/>
  <c r="J8" i="25"/>
  <c r="H8" i="25"/>
  <c r="G8" i="25"/>
  <c r="C8" i="25"/>
  <c r="B8" i="25"/>
  <c r="O7" i="25"/>
  <c r="J7" i="25"/>
  <c r="H7" i="25"/>
  <c r="G7" i="25"/>
  <c r="C7" i="25"/>
  <c r="B7" i="25"/>
  <c r="J6" i="25"/>
  <c r="H6" i="25"/>
  <c r="G6" i="25"/>
  <c r="C6" i="25"/>
  <c r="B6" i="25"/>
  <c r="O5" i="25"/>
  <c r="J5" i="25"/>
  <c r="H5" i="25"/>
  <c r="G5" i="25"/>
  <c r="C5" i="25"/>
  <c r="B5" i="25"/>
  <c r="J4" i="25"/>
  <c r="H4" i="25"/>
  <c r="G4" i="25"/>
  <c r="C4" i="25"/>
  <c r="B4" i="25"/>
  <c r="O3" i="25"/>
  <c r="J3" i="25"/>
  <c r="H3" i="25"/>
  <c r="G3" i="25"/>
  <c r="C3" i="25"/>
  <c r="B3" i="25"/>
  <c r="J2" i="25"/>
  <c r="H2" i="25"/>
  <c r="G2" i="25"/>
  <c r="C2" i="25"/>
  <c r="B2" i="25"/>
  <c r="C21" i="24"/>
  <c r="C22" i="24"/>
  <c r="C5" i="24"/>
  <c r="C23" i="24"/>
  <c r="C6" i="24"/>
  <c r="C24" i="24"/>
  <c r="C7" i="24"/>
  <c r="C25" i="24"/>
  <c r="C8" i="24"/>
  <c r="C26" i="24"/>
  <c r="C9" i="24"/>
  <c r="C27" i="24"/>
  <c r="C10" i="24"/>
  <c r="C28" i="24"/>
  <c r="C11" i="24"/>
  <c r="C29" i="24"/>
  <c r="C12" i="24"/>
  <c r="C30" i="24"/>
  <c r="C13" i="24"/>
  <c r="C31" i="24"/>
  <c r="C14" i="24"/>
  <c r="N14" i="24" s="1"/>
  <c r="C32" i="24"/>
  <c r="C15" i="24"/>
  <c r="C33" i="24"/>
  <c r="C16" i="24"/>
  <c r="C34" i="24"/>
  <c r="C17" i="24"/>
  <c r="C35" i="24"/>
  <c r="C18" i="24"/>
  <c r="N18" i="24" s="1"/>
  <c r="C36" i="24"/>
  <c r="C19" i="24"/>
  <c r="C37" i="24"/>
  <c r="G21" i="24"/>
  <c r="G22" i="24"/>
  <c r="G23" i="24"/>
  <c r="G24" i="24"/>
  <c r="G25" i="24"/>
  <c r="G26" i="24"/>
  <c r="G27" i="24"/>
  <c r="G28" i="24"/>
  <c r="G29" i="24"/>
  <c r="G30" i="24"/>
  <c r="G31" i="24"/>
  <c r="G32" i="24"/>
  <c r="G33" i="24"/>
  <c r="G34" i="24"/>
  <c r="G35" i="24"/>
  <c r="G36" i="24"/>
  <c r="G37" i="24"/>
  <c r="G20" i="24"/>
  <c r="G19" i="24"/>
  <c r="G3" i="24"/>
  <c r="G4" i="24"/>
  <c r="G5" i="24"/>
  <c r="G6" i="24"/>
  <c r="G7" i="24"/>
  <c r="G8" i="24"/>
  <c r="G9" i="24"/>
  <c r="G10" i="24"/>
  <c r="G11" i="24"/>
  <c r="G12" i="24"/>
  <c r="G13" i="24"/>
  <c r="G14" i="24"/>
  <c r="G15" i="24"/>
  <c r="G16" i="24"/>
  <c r="G17" i="24"/>
  <c r="G18" i="24"/>
  <c r="G2" i="24"/>
  <c r="M19" i="24"/>
  <c r="H19" i="24"/>
  <c r="F19" i="24"/>
  <c r="E19" i="24"/>
  <c r="B19" i="24"/>
  <c r="A19" i="24"/>
  <c r="M18" i="24"/>
  <c r="H18" i="24"/>
  <c r="F18" i="24"/>
  <c r="E18" i="24"/>
  <c r="B18" i="24"/>
  <c r="A18" i="24"/>
  <c r="M17" i="24"/>
  <c r="H17" i="24"/>
  <c r="F17" i="24"/>
  <c r="E17" i="24"/>
  <c r="B17" i="24"/>
  <c r="A17" i="24"/>
  <c r="M16" i="24"/>
  <c r="H16" i="24"/>
  <c r="F16" i="24"/>
  <c r="E16" i="24"/>
  <c r="B16" i="24"/>
  <c r="A16" i="24"/>
  <c r="M15" i="24"/>
  <c r="H15" i="24"/>
  <c r="F15" i="24"/>
  <c r="E15" i="24"/>
  <c r="B15" i="24"/>
  <c r="A15" i="24"/>
  <c r="M14" i="24"/>
  <c r="H14" i="24"/>
  <c r="F14" i="24"/>
  <c r="E14" i="24"/>
  <c r="B14" i="24"/>
  <c r="A14" i="24"/>
  <c r="M13" i="24"/>
  <c r="H13" i="24"/>
  <c r="F13" i="24"/>
  <c r="E13" i="24"/>
  <c r="B13" i="24"/>
  <c r="A13" i="24"/>
  <c r="M12" i="24"/>
  <c r="H12" i="24"/>
  <c r="F12" i="24"/>
  <c r="E12" i="24"/>
  <c r="B12" i="24"/>
  <c r="A12" i="24"/>
  <c r="M11" i="24"/>
  <c r="H11" i="24"/>
  <c r="F11" i="24"/>
  <c r="E11" i="24"/>
  <c r="B11" i="24"/>
  <c r="A11" i="24"/>
  <c r="M10" i="24"/>
  <c r="H10" i="24"/>
  <c r="F10" i="24"/>
  <c r="E10" i="24"/>
  <c r="B10" i="24"/>
  <c r="A10" i="24"/>
  <c r="M9" i="24"/>
  <c r="H9" i="24"/>
  <c r="F9" i="24"/>
  <c r="E9" i="24"/>
  <c r="B9" i="24"/>
  <c r="A9" i="24"/>
  <c r="M8" i="24"/>
  <c r="H8" i="24"/>
  <c r="F8" i="24"/>
  <c r="E8" i="24"/>
  <c r="B8" i="24"/>
  <c r="A8" i="24"/>
  <c r="M7" i="24"/>
  <c r="H7" i="24"/>
  <c r="F7" i="24"/>
  <c r="E7" i="24"/>
  <c r="B7" i="24"/>
  <c r="A7" i="24"/>
  <c r="M6" i="24"/>
  <c r="H6" i="24"/>
  <c r="F6" i="24"/>
  <c r="E6" i="24"/>
  <c r="B6" i="24"/>
  <c r="A6" i="24"/>
  <c r="M5" i="24"/>
  <c r="H5" i="24"/>
  <c r="F5" i="24"/>
  <c r="E5" i="24"/>
  <c r="B5" i="24"/>
  <c r="A5" i="24"/>
  <c r="M4" i="24"/>
  <c r="H4" i="24"/>
  <c r="F4" i="24"/>
  <c r="E4" i="24"/>
  <c r="N4" i="24" s="1"/>
  <c r="B4" i="24"/>
  <c r="A4" i="24"/>
  <c r="M3" i="24"/>
  <c r="H3" i="24"/>
  <c r="F3" i="24"/>
  <c r="E3" i="24"/>
  <c r="N3" i="24" s="1"/>
  <c r="B3" i="24"/>
  <c r="A3" i="24"/>
  <c r="M2" i="24"/>
  <c r="H2" i="24"/>
  <c r="F2" i="24"/>
  <c r="E2" i="24"/>
  <c r="N2" i="24" s="1"/>
  <c r="B2" i="24"/>
  <c r="A2" i="24"/>
  <c r="M37" i="24"/>
  <c r="H37" i="24"/>
  <c r="F37" i="24"/>
  <c r="E37" i="24"/>
  <c r="B37" i="24"/>
  <c r="A37" i="24"/>
  <c r="M36" i="24"/>
  <c r="H36" i="24"/>
  <c r="F36" i="24"/>
  <c r="E36" i="24"/>
  <c r="B36" i="24"/>
  <c r="A36" i="24"/>
  <c r="M35" i="24"/>
  <c r="H35" i="24"/>
  <c r="F35" i="24"/>
  <c r="E35" i="24"/>
  <c r="B35" i="24"/>
  <c r="A35" i="24"/>
  <c r="M34" i="24"/>
  <c r="H34" i="24"/>
  <c r="F34" i="24"/>
  <c r="E34" i="24"/>
  <c r="B34" i="24"/>
  <c r="A34" i="24"/>
  <c r="M33" i="24"/>
  <c r="H33" i="24"/>
  <c r="F33" i="24"/>
  <c r="E33" i="24"/>
  <c r="B33" i="24"/>
  <c r="A33" i="24"/>
  <c r="M32" i="24"/>
  <c r="H32" i="24"/>
  <c r="F32" i="24"/>
  <c r="E32" i="24"/>
  <c r="B32" i="24"/>
  <c r="A32" i="24"/>
  <c r="M31" i="24"/>
  <c r="H31" i="24"/>
  <c r="F31" i="24"/>
  <c r="E31" i="24"/>
  <c r="B31" i="24"/>
  <c r="A31" i="24"/>
  <c r="M30" i="24"/>
  <c r="H30" i="24"/>
  <c r="F30" i="24"/>
  <c r="E30" i="24"/>
  <c r="B30" i="24"/>
  <c r="A30" i="24"/>
  <c r="M29" i="24"/>
  <c r="H29" i="24"/>
  <c r="F29" i="24"/>
  <c r="E29" i="24"/>
  <c r="B29" i="24"/>
  <c r="A29" i="24"/>
  <c r="M28" i="24"/>
  <c r="H28" i="24"/>
  <c r="F28" i="24"/>
  <c r="E28" i="24"/>
  <c r="B28" i="24"/>
  <c r="A28" i="24"/>
  <c r="M27" i="24"/>
  <c r="H27" i="24"/>
  <c r="F27" i="24"/>
  <c r="E27" i="24"/>
  <c r="B27" i="24"/>
  <c r="A27" i="24"/>
  <c r="M26" i="24"/>
  <c r="H26" i="24"/>
  <c r="F26" i="24"/>
  <c r="E26" i="24"/>
  <c r="B26" i="24"/>
  <c r="A26" i="24"/>
  <c r="M25" i="24"/>
  <c r="H25" i="24"/>
  <c r="F25" i="24"/>
  <c r="E25" i="24"/>
  <c r="B25" i="24"/>
  <c r="A25" i="24"/>
  <c r="M24" i="24"/>
  <c r="H24" i="24"/>
  <c r="F24" i="24"/>
  <c r="E24" i="24"/>
  <c r="B24" i="24"/>
  <c r="A24" i="24"/>
  <c r="M23" i="24"/>
  <c r="H23" i="24"/>
  <c r="F23" i="24"/>
  <c r="E23" i="24"/>
  <c r="B23" i="24"/>
  <c r="A23" i="24"/>
  <c r="M22" i="24"/>
  <c r="H22" i="24"/>
  <c r="F22" i="24"/>
  <c r="E22" i="24"/>
  <c r="B22" i="24"/>
  <c r="A22" i="24"/>
  <c r="M21" i="24"/>
  <c r="H21" i="24"/>
  <c r="F21" i="24"/>
  <c r="E21" i="24"/>
  <c r="B21" i="24"/>
  <c r="A21" i="24"/>
  <c r="M20" i="24"/>
  <c r="H20" i="24"/>
  <c r="F20" i="24"/>
  <c r="E20" i="24"/>
  <c r="N20" i="24" s="1"/>
  <c r="B20" i="24"/>
  <c r="A20" i="24"/>
  <c r="C33" i="14"/>
  <c r="C32" i="14"/>
  <c r="R15" i="14"/>
  <c r="R14" i="14"/>
  <c r="L14" i="14"/>
  <c r="G20" i="14"/>
  <c r="S15" i="14"/>
  <c r="S14" i="14"/>
  <c r="M14" i="14"/>
  <c r="C14" i="14"/>
  <c r="D14" i="14"/>
  <c r="X10" i="14"/>
  <c r="X6" i="14"/>
  <c r="X5" i="14"/>
  <c r="X4" i="14"/>
  <c r="X3" i="14"/>
  <c r="Y3" i="14"/>
  <c r="O4" i="14"/>
  <c r="F4" i="14"/>
  <c r="C4" i="14"/>
  <c r="Y4" i="14"/>
  <c r="AA3" i="14"/>
  <c r="AA4" i="14"/>
  <c r="AA5" i="14"/>
  <c r="AA6" i="14"/>
  <c r="AA10" i="14"/>
  <c r="AB3" i="14"/>
  <c r="F9" i="14"/>
  <c r="AB4" i="14"/>
  <c r="AB5" i="14"/>
  <c r="AB6" i="14"/>
  <c r="AB10" i="14"/>
  <c r="AC3" i="14"/>
  <c r="G9" i="14"/>
  <c r="Y10" i="14"/>
  <c r="Y5" i="14"/>
  <c r="Y6" i="14"/>
  <c r="Y7" i="14"/>
  <c r="Y8" i="14"/>
  <c r="Z8" i="14"/>
  <c r="Z7" i="14"/>
  <c r="Z3" i="14"/>
  <c r="P4" i="14"/>
  <c r="P3" i="14"/>
  <c r="Q4" i="14"/>
  <c r="Q3" i="14"/>
  <c r="G4" i="14"/>
  <c r="D4" i="14"/>
  <c r="C3" i="23"/>
  <c r="C5" i="23"/>
  <c r="C7" i="23"/>
  <c r="C9" i="23"/>
  <c r="C5" i="20"/>
  <c r="C6" i="20" s="1"/>
  <c r="D5" i="20"/>
  <c r="D6" i="20" s="1"/>
  <c r="F69" i="13"/>
  <c r="F70" i="13"/>
  <c r="F71" i="13"/>
  <c r="F72" i="13"/>
  <c r="F73" i="13"/>
  <c r="F74" i="13"/>
  <c r="F75" i="13"/>
  <c r="F76" i="13"/>
  <c r="F77" i="13"/>
  <c r="F68" i="13"/>
  <c r="G69" i="13"/>
  <c r="G70" i="13"/>
  <c r="G71" i="13"/>
  <c r="G72" i="13"/>
  <c r="G73" i="13"/>
  <c r="G74" i="13"/>
  <c r="G75" i="13"/>
  <c r="G76" i="13"/>
  <c r="G77" i="13"/>
  <c r="G68" i="13"/>
  <c r="H69" i="13"/>
  <c r="H70" i="13"/>
  <c r="H71" i="13"/>
  <c r="H72" i="13"/>
  <c r="H73" i="13"/>
  <c r="H74" i="13"/>
  <c r="H75" i="13"/>
  <c r="H76" i="13"/>
  <c r="H77" i="13"/>
  <c r="H68" i="13"/>
  <c r="F57" i="13"/>
  <c r="F58" i="13"/>
  <c r="F59" i="13"/>
  <c r="F60" i="13"/>
  <c r="F61" i="13"/>
  <c r="F62" i="13"/>
  <c r="F63" i="13"/>
  <c r="F64" i="13"/>
  <c r="F65" i="13"/>
  <c r="F56" i="13"/>
  <c r="G57" i="13"/>
  <c r="G58" i="13"/>
  <c r="G59" i="13"/>
  <c r="G60" i="13"/>
  <c r="G61" i="13"/>
  <c r="G62" i="13"/>
  <c r="G63" i="13"/>
  <c r="G64" i="13"/>
  <c r="G65" i="13"/>
  <c r="G56" i="13"/>
  <c r="H57" i="13"/>
  <c r="H58" i="13"/>
  <c r="H59" i="13"/>
  <c r="H60" i="13"/>
  <c r="H61" i="13"/>
  <c r="H62" i="13"/>
  <c r="H63" i="13"/>
  <c r="H64" i="13"/>
  <c r="H65" i="13"/>
  <c r="H56" i="13"/>
  <c r="F44" i="13"/>
  <c r="G44" i="13"/>
  <c r="H44" i="13"/>
  <c r="F45" i="13"/>
  <c r="F46" i="13"/>
  <c r="F47" i="13"/>
  <c r="F48" i="13"/>
  <c r="F49" i="13"/>
  <c r="F50" i="13"/>
  <c r="F51" i="13"/>
  <c r="F52" i="13"/>
  <c r="F53" i="13"/>
  <c r="G45" i="13"/>
  <c r="G46" i="13"/>
  <c r="G47" i="13"/>
  <c r="G48" i="13"/>
  <c r="G49" i="13"/>
  <c r="G50" i="13"/>
  <c r="G51" i="13"/>
  <c r="G52" i="13"/>
  <c r="G53" i="13"/>
  <c r="H45" i="13"/>
  <c r="H46" i="13"/>
  <c r="H47" i="13"/>
  <c r="H48" i="13"/>
  <c r="H49" i="13"/>
  <c r="H50" i="13"/>
  <c r="H51" i="13"/>
  <c r="H52" i="13"/>
  <c r="H53" i="13"/>
  <c r="F33" i="13"/>
  <c r="F34" i="13"/>
  <c r="F35" i="13"/>
  <c r="F36" i="13"/>
  <c r="F37" i="13"/>
  <c r="F38" i="13"/>
  <c r="F39" i="13"/>
  <c r="F40" i="13"/>
  <c r="F32" i="13"/>
  <c r="G33" i="13"/>
  <c r="G34" i="13"/>
  <c r="G35" i="13"/>
  <c r="G36" i="13"/>
  <c r="G37" i="13"/>
  <c r="G38" i="13"/>
  <c r="G39" i="13"/>
  <c r="G40" i="13"/>
  <c r="G32" i="13"/>
  <c r="H33" i="13"/>
  <c r="H34" i="13"/>
  <c r="H35" i="13"/>
  <c r="H36" i="13"/>
  <c r="H37" i="13"/>
  <c r="H38" i="13"/>
  <c r="H39" i="13"/>
  <c r="H40" i="13"/>
  <c r="H32" i="13"/>
  <c r="F20" i="13"/>
  <c r="F21" i="13"/>
  <c r="F22" i="13"/>
  <c r="F23" i="13"/>
  <c r="F24" i="13"/>
  <c r="F25" i="13"/>
  <c r="F26" i="13"/>
  <c r="F27" i="13"/>
  <c r="F28" i="13"/>
  <c r="F19" i="13"/>
  <c r="G20" i="13"/>
  <c r="G21" i="13"/>
  <c r="G22" i="13"/>
  <c r="G23" i="13"/>
  <c r="G24" i="13"/>
  <c r="G25" i="13"/>
  <c r="G26" i="13"/>
  <c r="G27" i="13"/>
  <c r="G28" i="13"/>
  <c r="G19" i="13"/>
  <c r="H20" i="13"/>
  <c r="H21" i="13"/>
  <c r="H22" i="13"/>
  <c r="H23" i="13"/>
  <c r="H24" i="13"/>
  <c r="H25" i="13"/>
  <c r="H26" i="13"/>
  <c r="H27" i="13"/>
  <c r="H28" i="13"/>
  <c r="H19" i="13"/>
  <c r="H6" i="13"/>
  <c r="F7" i="13"/>
  <c r="F8" i="13"/>
  <c r="F9" i="13"/>
  <c r="F10" i="13"/>
  <c r="F11" i="13"/>
  <c r="F12" i="13"/>
  <c r="F13" i="13"/>
  <c r="F14" i="13"/>
  <c r="F15" i="13"/>
  <c r="G6" i="13"/>
  <c r="F6" i="13"/>
  <c r="G7" i="13"/>
  <c r="G8" i="13"/>
  <c r="G9" i="13"/>
  <c r="G10" i="13"/>
  <c r="G11" i="13"/>
  <c r="G12" i="13"/>
  <c r="G13" i="13"/>
  <c r="G14" i="13"/>
  <c r="G15" i="13"/>
  <c r="H7" i="13"/>
  <c r="H15" i="13"/>
  <c r="H14" i="13"/>
  <c r="H13" i="13"/>
  <c r="H12" i="13"/>
  <c r="H11" i="13"/>
  <c r="H10" i="13"/>
  <c r="H9" i="13"/>
  <c r="H8" i="13"/>
  <c r="C4" i="23"/>
  <c r="C2" i="23"/>
  <c r="C8" i="23"/>
  <c r="N8" i="23" s="1"/>
  <c r="C6" i="23"/>
  <c r="G6" i="23"/>
  <c r="G7" i="23"/>
  <c r="G8" i="23"/>
  <c r="G9" i="23"/>
  <c r="G2" i="23"/>
  <c r="G3" i="23"/>
  <c r="G4" i="23"/>
  <c r="G5" i="23"/>
  <c r="M9" i="23"/>
  <c r="H9" i="23"/>
  <c r="F9" i="23"/>
  <c r="E9" i="23"/>
  <c r="B9" i="23"/>
  <c r="A9" i="23"/>
  <c r="M8" i="23"/>
  <c r="H8" i="23"/>
  <c r="F8" i="23"/>
  <c r="E8" i="23"/>
  <c r="B8" i="23"/>
  <c r="A8" i="23"/>
  <c r="M7" i="23"/>
  <c r="H7" i="23"/>
  <c r="F7" i="23"/>
  <c r="E7" i="23"/>
  <c r="B7" i="23"/>
  <c r="A7" i="23"/>
  <c r="M6" i="23"/>
  <c r="H6" i="23"/>
  <c r="F6" i="23"/>
  <c r="E6" i="23"/>
  <c r="B6" i="23"/>
  <c r="A6" i="23"/>
  <c r="M5" i="23"/>
  <c r="H5" i="23"/>
  <c r="F5" i="23"/>
  <c r="E5" i="23"/>
  <c r="B5" i="23"/>
  <c r="A5" i="23"/>
  <c r="M4" i="23"/>
  <c r="H4" i="23"/>
  <c r="F4" i="23"/>
  <c r="E4" i="23"/>
  <c r="B4" i="23"/>
  <c r="A4" i="23"/>
  <c r="M3" i="23"/>
  <c r="H3" i="23"/>
  <c r="F3" i="23"/>
  <c r="E3" i="23"/>
  <c r="B3" i="23"/>
  <c r="A3" i="23"/>
  <c r="M2" i="23"/>
  <c r="H2" i="23"/>
  <c r="F2" i="23"/>
  <c r="E2" i="23"/>
  <c r="B2" i="23"/>
  <c r="A2" i="23"/>
  <c r="C3" i="22"/>
  <c r="C6" i="22"/>
  <c r="C4" i="22"/>
  <c r="C7" i="22"/>
  <c r="N7" i="22" s="1"/>
  <c r="G8" i="22"/>
  <c r="G10" i="22"/>
  <c r="G9" i="22"/>
  <c r="G7" i="22"/>
  <c r="G6" i="22"/>
  <c r="G5" i="22"/>
  <c r="G4" i="22"/>
  <c r="G3" i="22"/>
  <c r="G2" i="22"/>
  <c r="M7" i="22"/>
  <c r="H7" i="22"/>
  <c r="F7" i="22"/>
  <c r="E7" i="22"/>
  <c r="B7" i="22"/>
  <c r="A7" i="22"/>
  <c r="M6" i="22"/>
  <c r="H6" i="22"/>
  <c r="F6" i="22"/>
  <c r="E6" i="22"/>
  <c r="B6" i="22"/>
  <c r="A6" i="22"/>
  <c r="M5" i="22"/>
  <c r="H5" i="22"/>
  <c r="F5" i="22"/>
  <c r="E5" i="22"/>
  <c r="B5" i="22"/>
  <c r="A5" i="22"/>
  <c r="M4" i="22"/>
  <c r="H4" i="22"/>
  <c r="F4" i="22"/>
  <c r="E4" i="22"/>
  <c r="B4" i="22"/>
  <c r="A4" i="22"/>
  <c r="M3" i="22"/>
  <c r="H3" i="22"/>
  <c r="F3" i="22"/>
  <c r="E3" i="22"/>
  <c r="B3" i="22"/>
  <c r="A3" i="22"/>
  <c r="M2" i="22"/>
  <c r="H2" i="22"/>
  <c r="F2" i="22"/>
  <c r="E2" i="22"/>
  <c r="B2" i="22"/>
  <c r="A2" i="22"/>
  <c r="G7" i="21"/>
  <c r="G8" i="21"/>
  <c r="G9" i="21"/>
  <c r="G2" i="21"/>
  <c r="G3" i="21"/>
  <c r="G6" i="21"/>
  <c r="G5" i="21"/>
  <c r="G4" i="21"/>
  <c r="M9" i="21"/>
  <c r="H9" i="21"/>
  <c r="F9" i="21"/>
  <c r="E9" i="21"/>
  <c r="B9" i="21"/>
  <c r="A9" i="21"/>
  <c r="M8" i="21"/>
  <c r="H8" i="21"/>
  <c r="F8" i="21"/>
  <c r="E8" i="21"/>
  <c r="B8" i="21"/>
  <c r="A8" i="21"/>
  <c r="M7" i="21"/>
  <c r="H7" i="21"/>
  <c r="F7" i="21"/>
  <c r="E7" i="21"/>
  <c r="B7" i="21"/>
  <c r="A7" i="21"/>
  <c r="M6" i="21"/>
  <c r="H6" i="21"/>
  <c r="F6" i="21"/>
  <c r="E6" i="21"/>
  <c r="B6" i="21"/>
  <c r="A6" i="21"/>
  <c r="M5" i="21"/>
  <c r="H5" i="21"/>
  <c r="F5" i="21"/>
  <c r="E5" i="21"/>
  <c r="B5" i="21"/>
  <c r="A5" i="21"/>
  <c r="M4" i="21"/>
  <c r="H4" i="21"/>
  <c r="F4" i="21"/>
  <c r="E4" i="21"/>
  <c r="B4" i="21"/>
  <c r="A4" i="21"/>
  <c r="M3" i="21"/>
  <c r="H3" i="21"/>
  <c r="F3" i="21"/>
  <c r="E3" i="21"/>
  <c r="B3" i="21"/>
  <c r="A3" i="21"/>
  <c r="M2" i="21"/>
  <c r="H2" i="21"/>
  <c r="F2" i="21"/>
  <c r="E2" i="21"/>
  <c r="B2" i="21"/>
  <c r="A2" i="21"/>
  <c r="G5" i="5"/>
  <c r="G4" i="5"/>
  <c r="G3" i="5"/>
  <c r="G2" i="5"/>
  <c r="M5" i="5"/>
  <c r="H5" i="5"/>
  <c r="F5" i="5"/>
  <c r="E5" i="5"/>
  <c r="A5" i="5"/>
  <c r="M4" i="5"/>
  <c r="H4" i="5"/>
  <c r="F4" i="5"/>
  <c r="E4" i="5"/>
  <c r="A4" i="5"/>
  <c r="M3" i="5"/>
  <c r="H3" i="5"/>
  <c r="F3" i="5"/>
  <c r="E3" i="5"/>
  <c r="A3" i="5"/>
  <c r="M2" i="5"/>
  <c r="H2" i="5"/>
  <c r="F2" i="5"/>
  <c r="E2" i="5"/>
  <c r="A2" i="5"/>
  <c r="C10" i="26"/>
  <c r="O13" i="25"/>
  <c r="J13" i="25"/>
  <c r="I13" i="25"/>
  <c r="H13" i="25"/>
  <c r="G13" i="25"/>
  <c r="C13" i="25"/>
  <c r="B13" i="25"/>
  <c r="J12" i="25"/>
  <c r="I12" i="25"/>
  <c r="H12" i="25"/>
  <c r="G12" i="25"/>
  <c r="D12" i="25"/>
  <c r="P13" i="25" s="1"/>
  <c r="C12" i="25"/>
  <c r="B12" i="25"/>
  <c r="O11" i="25"/>
  <c r="J11" i="25"/>
  <c r="I11" i="25"/>
  <c r="H11" i="25"/>
  <c r="G11" i="25"/>
  <c r="C11" i="25"/>
  <c r="B11" i="25"/>
  <c r="J10" i="25"/>
  <c r="I10" i="25"/>
  <c r="H10" i="25"/>
  <c r="G10" i="25"/>
  <c r="D10" i="25"/>
  <c r="P11" i="25" s="1"/>
  <c r="C10" i="25"/>
  <c r="B10" i="25"/>
  <c r="Q1" i="25"/>
  <c r="P1" i="25"/>
  <c r="O1" i="25"/>
  <c r="N1" i="25"/>
  <c r="M1" i="25"/>
  <c r="L1" i="25"/>
  <c r="K1" i="25"/>
  <c r="J1" i="25"/>
  <c r="I1" i="25"/>
  <c r="H1" i="25"/>
  <c r="G1" i="25"/>
  <c r="D7" i="13"/>
  <c r="C9" i="21" s="1"/>
  <c r="N9" i="21" s="1"/>
  <c r="O5" i="7"/>
  <c r="O7" i="7"/>
  <c r="O9" i="7"/>
  <c r="O11" i="7"/>
  <c r="O13" i="7"/>
  <c r="O15" i="7"/>
  <c r="O17" i="7"/>
  <c r="O19" i="7"/>
  <c r="O21" i="7"/>
  <c r="O23" i="7"/>
  <c r="O25" i="7"/>
  <c r="O27" i="7"/>
  <c r="O29" i="7"/>
  <c r="O3" i="7"/>
  <c r="N13" i="25" a="1"/>
  <c r="L21" i="24" a="1"/>
  <c r="L12" i="24" a="1"/>
  <c r="N45" i="30" a="1"/>
  <c r="L13" i="24" a="1"/>
  <c r="L17" i="24" a="1"/>
  <c r="L36" i="24" a="1"/>
  <c r="N25" i="7" a="1"/>
  <c r="L19" i="24" a="1"/>
  <c r="N5" i="30" a="1"/>
  <c r="N51" i="30" a="1"/>
  <c r="N9" i="31" a="1"/>
  <c r="L23" i="24" a="1"/>
  <c r="N17" i="30" a="1"/>
  <c r="L11" i="24" a="1"/>
  <c r="L9" i="24" a="1"/>
  <c r="L5" i="23" a="1"/>
  <c r="N57" i="30" a="1"/>
  <c r="L5" i="5" a="1"/>
  <c r="N21" i="7" a="1"/>
  <c r="L24" i="24" a="1"/>
  <c r="L27" i="24" a="1"/>
  <c r="N41" i="30" a="1"/>
  <c r="N27" i="7" a="1"/>
  <c r="N13" i="7" a="1"/>
  <c r="N17" i="7" a="1"/>
  <c r="L15" i="24" a="1"/>
  <c r="N7" i="31" a="1"/>
  <c r="L10" i="24" a="1"/>
  <c r="N53" i="30" a="1"/>
  <c r="L30" i="24" a="1"/>
  <c r="N25" i="30" a="1"/>
  <c r="N55" i="30" a="1"/>
  <c r="L20" i="24" a="1"/>
  <c r="L26" i="24" a="1"/>
  <c r="N59" i="30" a="1"/>
  <c r="N9" i="25" a="1"/>
  <c r="L6" i="21" a="1"/>
  <c r="L35" i="24" a="1"/>
  <c r="N7" i="25" a="1"/>
  <c r="N47" i="30" a="1"/>
  <c r="L3" i="22" a="1"/>
  <c r="L2" i="22" a="1"/>
  <c r="N5" i="25" a="1"/>
  <c r="N15" i="7" a="1"/>
  <c r="L8" i="24" a="1"/>
  <c r="N3" i="31" a="1"/>
  <c r="N5" i="31" a="1"/>
  <c r="N11" i="7" a="1"/>
  <c r="N29" i="7" a="1"/>
  <c r="N33" i="30" a="1"/>
  <c r="L34" i="24" a="1"/>
  <c r="L2" i="21" a="1"/>
  <c r="L29" i="24" a="1"/>
  <c r="L8" i="21" a="1"/>
  <c r="L2" i="23" a="1"/>
  <c r="L5" i="22" a="1"/>
  <c r="N9" i="7" a="1"/>
  <c r="L9" i="21" a="1"/>
  <c r="L2" i="24" a="1"/>
  <c r="N13" i="30" a="1"/>
  <c r="N43" i="30" a="1"/>
  <c r="L3" i="5" a="1"/>
  <c r="N7" i="7" a="1"/>
  <c r="L6" i="22" a="1"/>
  <c r="L3" i="21" a="1"/>
  <c r="L4" i="5" a="1"/>
  <c r="L3" i="23" a="1"/>
  <c r="L25" i="24" a="1"/>
  <c r="L3" i="24" a="1"/>
  <c r="L4" i="23" a="1"/>
  <c r="L7" i="21" a="1"/>
  <c r="N37" i="30" a="1"/>
  <c r="L7" i="22" a="1"/>
  <c r="N5" i="7" a="1"/>
  <c r="L6" i="23" a="1"/>
  <c r="N11" i="25" a="1"/>
  <c r="N23" i="7" a="1"/>
  <c r="L32" i="24" a="1"/>
  <c r="L9" i="23" a="1"/>
  <c r="L16" i="24" a="1"/>
  <c r="N3" i="7" a="1"/>
  <c r="N19" i="7" a="1"/>
  <c r="L7" i="23" a="1"/>
  <c r="L33" i="24" a="1"/>
  <c r="L22" i="24" a="1"/>
  <c r="N3" i="25" a="1"/>
  <c r="L6" i="24" a="1"/>
  <c r="L28" i="24" a="1"/>
  <c r="L2" i="5" a="1"/>
  <c r="L8" i="23" a="1"/>
  <c r="N29" i="30" a="1"/>
  <c r="L37" i="24" a="1"/>
  <c r="L5" i="24" a="1"/>
  <c r="N49" i="30" a="1"/>
  <c r="L4" i="22" a="1"/>
  <c r="N11" i="31" a="1"/>
  <c r="L5" i="21" a="1"/>
  <c r="L14" i="24" a="1"/>
  <c r="L18" i="24" a="1"/>
  <c r="L4" i="21" a="1"/>
  <c r="L4" i="24" a="1"/>
  <c r="N9" i="30" a="1"/>
  <c r="L31" i="24" a="1"/>
  <c r="L7" i="24" a="1"/>
  <c r="N34" i="24" l="1"/>
  <c r="N30" i="24"/>
  <c r="N26" i="24"/>
  <c r="N22" i="24"/>
  <c r="N6" i="22"/>
  <c r="N9" i="23"/>
  <c r="N6" i="23"/>
  <c r="N4" i="23"/>
  <c r="A2" i="35" a="1"/>
  <c r="A2" i="35" s="1"/>
  <c r="N16" i="24"/>
  <c r="N12" i="24"/>
  <c r="N8" i="24"/>
  <c r="N21" i="24"/>
  <c r="N37" i="24"/>
  <c r="N33" i="24"/>
  <c r="N29" i="24"/>
  <c r="N25" i="24"/>
  <c r="N19" i="24"/>
  <c r="N15" i="24"/>
  <c r="N11" i="24"/>
  <c r="N7" i="24"/>
  <c r="N36" i="24"/>
  <c r="N32" i="24"/>
  <c r="N28" i="24"/>
  <c r="N24" i="24"/>
  <c r="N10" i="24"/>
  <c r="N6" i="24"/>
  <c r="N35" i="24"/>
  <c r="N31" i="24"/>
  <c r="N27" i="24"/>
  <c r="N23" i="24"/>
  <c r="N17" i="24"/>
  <c r="N13" i="24"/>
  <c r="N9" i="24"/>
  <c r="N5" i="24"/>
  <c r="N5" i="23"/>
  <c r="N2" i="23"/>
  <c r="N4" i="22"/>
  <c r="N3" i="22"/>
  <c r="A2" i="33" a="1"/>
  <c r="A2" i="33" s="1"/>
  <c r="N7" i="23"/>
  <c r="N3" i="23"/>
  <c r="A2" i="34" a="1"/>
  <c r="A2" i="34" s="1"/>
  <c r="N11" i="31"/>
  <c r="N9" i="31"/>
  <c r="N7" i="31"/>
  <c r="N5" i="31"/>
  <c r="N3" i="31"/>
  <c r="N55" i="30"/>
  <c r="N59" i="30"/>
  <c r="N53" i="30"/>
  <c r="N57" i="30"/>
  <c r="N45" i="30"/>
  <c r="N49" i="30"/>
  <c r="N51" i="30"/>
  <c r="N47" i="30"/>
  <c r="N43" i="30"/>
  <c r="N41" i="30"/>
  <c r="N25" i="30"/>
  <c r="N29" i="30"/>
  <c r="N33" i="30"/>
  <c r="N37" i="30"/>
  <c r="N5" i="30"/>
  <c r="N9" i="30"/>
  <c r="N13" i="30"/>
  <c r="N17" i="30"/>
  <c r="N7" i="25"/>
  <c r="N3" i="25"/>
  <c r="N9" i="25"/>
  <c r="N5" i="25"/>
  <c r="L2" i="24"/>
  <c r="L10" i="24"/>
  <c r="L18" i="24"/>
  <c r="L16" i="24"/>
  <c r="L7" i="24"/>
  <c r="L15" i="24"/>
  <c r="L5" i="24"/>
  <c r="L13" i="24"/>
  <c r="L8" i="24"/>
  <c r="L3" i="24"/>
  <c r="L11" i="24"/>
  <c r="L19" i="24"/>
  <c r="L6" i="24"/>
  <c r="L14" i="24"/>
  <c r="L9" i="24"/>
  <c r="L17" i="24"/>
  <c r="L4" i="24"/>
  <c r="L12" i="24"/>
  <c r="L33" i="24"/>
  <c r="L20" i="24"/>
  <c r="L28" i="24"/>
  <c r="L36" i="24"/>
  <c r="L23" i="24"/>
  <c r="L31" i="24"/>
  <c r="L26" i="24"/>
  <c r="L34" i="24"/>
  <c r="L21" i="24"/>
  <c r="L29" i="24"/>
  <c r="L37" i="24"/>
  <c r="L24" i="24"/>
  <c r="L32" i="24"/>
  <c r="L27" i="24"/>
  <c r="L35" i="24"/>
  <c r="L25" i="24"/>
  <c r="L22" i="24"/>
  <c r="L30" i="24"/>
  <c r="C5" i="5"/>
  <c r="N5" i="5" s="1"/>
  <c r="C3" i="21"/>
  <c r="N3" i="21" s="1"/>
  <c r="C13" i="21"/>
  <c r="C5" i="21"/>
  <c r="N5" i="21" s="1"/>
  <c r="C7" i="21"/>
  <c r="N7" i="21" s="1"/>
  <c r="C3" i="5"/>
  <c r="N3" i="5" s="1"/>
  <c r="L6" i="23"/>
  <c r="L4" i="23"/>
  <c r="L8" i="23"/>
  <c r="L2" i="23"/>
  <c r="L9" i="23"/>
  <c r="L7" i="23"/>
  <c r="L5" i="23"/>
  <c r="L3" i="23"/>
  <c r="L3" i="22"/>
  <c r="L4" i="22"/>
  <c r="L7" i="22"/>
  <c r="L6" i="22"/>
  <c r="L2" i="22"/>
  <c r="L5" i="22"/>
  <c r="L8" i="21"/>
  <c r="L3" i="21"/>
  <c r="L5" i="21"/>
  <c r="L6" i="21"/>
  <c r="L9" i="21"/>
  <c r="L4" i="21"/>
  <c r="L7" i="21"/>
  <c r="L2" i="21"/>
  <c r="L4" i="5"/>
  <c r="L5" i="5"/>
  <c r="L2" i="5"/>
  <c r="L3" i="5"/>
  <c r="N11" i="25"/>
  <c r="N13" i="25"/>
  <c r="N9" i="7"/>
  <c r="N7" i="7"/>
  <c r="N19" i="7"/>
  <c r="N17" i="7"/>
  <c r="N23" i="7"/>
  <c r="N15" i="7"/>
  <c r="N27" i="7"/>
  <c r="N11" i="7"/>
  <c r="N25" i="7"/>
  <c r="N29" i="7"/>
  <c r="N21" i="7"/>
  <c r="N13" i="7"/>
  <c r="N5" i="7"/>
  <c r="N3" i="7"/>
  <c r="E1" i="33" l="1" a="1"/>
  <c r="E1" i="33" s="1"/>
  <c r="G3" i="7"/>
  <c r="H3" i="7"/>
  <c r="J3" i="7"/>
  <c r="G4" i="7"/>
  <c r="H4" i="7"/>
  <c r="J4" i="7"/>
  <c r="G5" i="7"/>
  <c r="H5" i="7"/>
  <c r="J5" i="7"/>
  <c r="G6" i="7"/>
  <c r="H6" i="7"/>
  <c r="J6" i="7"/>
  <c r="G7" i="7"/>
  <c r="H7" i="7"/>
  <c r="J7" i="7"/>
  <c r="G8" i="7"/>
  <c r="H8" i="7"/>
  <c r="J8" i="7"/>
  <c r="G9" i="7"/>
  <c r="H9" i="7"/>
  <c r="J9" i="7"/>
  <c r="G10" i="7"/>
  <c r="H10" i="7"/>
  <c r="J10" i="7"/>
  <c r="G11" i="7"/>
  <c r="H11" i="7"/>
  <c r="J11" i="7"/>
  <c r="G12" i="7"/>
  <c r="H12" i="7"/>
  <c r="J12" i="7"/>
  <c r="G13" i="7"/>
  <c r="H13" i="7"/>
  <c r="J13" i="7"/>
  <c r="G14" i="7"/>
  <c r="H14" i="7"/>
  <c r="J14" i="7"/>
  <c r="G15" i="7"/>
  <c r="H15" i="7"/>
  <c r="J15" i="7"/>
  <c r="G16" i="7"/>
  <c r="H16" i="7"/>
  <c r="J16" i="7"/>
  <c r="G17" i="7"/>
  <c r="H17" i="7"/>
  <c r="J17" i="7"/>
  <c r="G18" i="7"/>
  <c r="H18" i="7"/>
  <c r="J18" i="7"/>
  <c r="G19" i="7"/>
  <c r="H19" i="7"/>
  <c r="J19" i="7"/>
  <c r="G20" i="7"/>
  <c r="H20" i="7"/>
  <c r="J20" i="7"/>
  <c r="G21" i="7"/>
  <c r="H21" i="7"/>
  <c r="J21" i="7"/>
  <c r="G22" i="7"/>
  <c r="H22" i="7"/>
  <c r="J22" i="7"/>
  <c r="G23" i="7"/>
  <c r="H23" i="7"/>
  <c r="J23" i="7"/>
  <c r="G24" i="7"/>
  <c r="H24" i="7"/>
  <c r="J24" i="7"/>
  <c r="G25" i="7"/>
  <c r="H25" i="7"/>
  <c r="J25" i="7"/>
  <c r="G26" i="7"/>
  <c r="H26" i="7"/>
  <c r="J26" i="7"/>
  <c r="G27" i="7"/>
  <c r="H27" i="7"/>
  <c r="J27" i="7"/>
  <c r="G28" i="7"/>
  <c r="H28" i="7"/>
  <c r="J28" i="7"/>
  <c r="G29" i="7"/>
  <c r="H29" i="7"/>
  <c r="J29" i="7"/>
  <c r="J2" i="7"/>
  <c r="H2" i="7"/>
  <c r="G2" i="7"/>
  <c r="A5" i="7"/>
  <c r="A7" i="7" s="1"/>
  <c r="A9" i="7" s="1"/>
  <c r="A11" i="7" s="1"/>
  <c r="A13" i="7" s="1"/>
  <c r="A15" i="7" s="1"/>
  <c r="A17" i="7" s="1"/>
  <c r="A19" i="7" s="1"/>
  <c r="A21" i="7" s="1"/>
  <c r="A23" i="7" s="1"/>
  <c r="A25" i="7" s="1"/>
  <c r="A27" i="7" s="1"/>
  <c r="A29" i="7" s="1"/>
  <c r="A3" i="25" s="1"/>
  <c r="A5" i="25" s="1"/>
  <c r="A7" i="25" s="1"/>
  <c r="A9" i="25" s="1"/>
  <c r="A11" i="25" s="1"/>
  <c r="A13" i="25" s="1"/>
  <c r="A4" i="7"/>
  <c r="A6" i="7" s="1"/>
  <c r="A8" i="7" s="1"/>
  <c r="A10" i="7" s="1"/>
  <c r="A12" i="7" s="1"/>
  <c r="A14" i="7" s="1"/>
  <c r="A16" i="7" s="1"/>
  <c r="A18" i="7" s="1"/>
  <c r="A20" i="7" s="1"/>
  <c r="A22" i="7" s="1"/>
  <c r="A24" i="7" s="1"/>
  <c r="A26" i="7" s="1"/>
  <c r="A28" i="7" s="1"/>
  <c r="A2" i="25" s="1"/>
  <c r="A4" i="25" s="1"/>
  <c r="A6" i="25" s="1"/>
  <c r="A8" i="25" s="1"/>
  <c r="A10" i="25" s="1"/>
  <c r="A12" i="25" s="1"/>
  <c r="A2" i="30" s="1"/>
  <c r="A6" i="30" s="1"/>
  <c r="A10" i="30" s="1"/>
  <c r="A14" i="30" s="1"/>
  <c r="A18" i="30" s="1"/>
  <c r="A22" i="30" s="1"/>
  <c r="A26" i="30" s="1"/>
  <c r="A30" i="30" s="1"/>
  <c r="A34" i="30" s="1"/>
  <c r="A38" i="30" s="1"/>
  <c r="Q1" i="7"/>
  <c r="P1" i="7"/>
  <c r="O1" i="7"/>
  <c r="N1" i="7"/>
  <c r="M1" i="7"/>
  <c r="L1" i="7"/>
  <c r="K1" i="7"/>
  <c r="J1" i="7"/>
  <c r="I1" i="7"/>
  <c r="H1" i="7"/>
  <c r="G1" i="7"/>
  <c r="M55" i="24"/>
  <c r="H55" i="24"/>
  <c r="G55" i="24"/>
  <c r="F55" i="24"/>
  <c r="E55" i="24"/>
  <c r="B55" i="24"/>
  <c r="A55" i="24"/>
  <c r="M54" i="24"/>
  <c r="H54" i="24"/>
  <c r="G54" i="24"/>
  <c r="F54" i="24"/>
  <c r="E54" i="24"/>
  <c r="B54" i="24"/>
  <c r="A54" i="24"/>
  <c r="M53" i="24"/>
  <c r="H53" i="24"/>
  <c r="G53" i="24"/>
  <c r="F53" i="24"/>
  <c r="E53" i="24"/>
  <c r="B53" i="24"/>
  <c r="A53" i="24"/>
  <c r="M52" i="24"/>
  <c r="H52" i="24"/>
  <c r="G52" i="24"/>
  <c r="F52" i="24"/>
  <c r="E52" i="24"/>
  <c r="B52" i="24"/>
  <c r="A52" i="24"/>
  <c r="M51" i="24"/>
  <c r="H51" i="24"/>
  <c r="G51" i="24"/>
  <c r="F51" i="24"/>
  <c r="E51" i="24"/>
  <c r="B51" i="24"/>
  <c r="A51" i="24"/>
  <c r="M50" i="24"/>
  <c r="H50" i="24"/>
  <c r="G50" i="24"/>
  <c r="F50" i="24"/>
  <c r="E50" i="24"/>
  <c r="B50" i="24"/>
  <c r="A50" i="24"/>
  <c r="M49" i="24"/>
  <c r="H49" i="24"/>
  <c r="G49" i="24"/>
  <c r="F49" i="24"/>
  <c r="E49" i="24"/>
  <c r="B49" i="24"/>
  <c r="A49" i="24"/>
  <c r="M48" i="24"/>
  <c r="H48" i="24"/>
  <c r="G48" i="24"/>
  <c r="F48" i="24"/>
  <c r="E48" i="24"/>
  <c r="B48" i="24"/>
  <c r="A48" i="24"/>
  <c r="M47" i="24"/>
  <c r="H47" i="24"/>
  <c r="G47" i="24"/>
  <c r="F47" i="24"/>
  <c r="E47" i="24"/>
  <c r="B47" i="24"/>
  <c r="A47" i="24"/>
  <c r="M46" i="24"/>
  <c r="H46" i="24"/>
  <c r="G46" i="24"/>
  <c r="F46" i="24"/>
  <c r="E46" i="24"/>
  <c r="B46" i="24"/>
  <c r="A46" i="24"/>
  <c r="M45" i="24"/>
  <c r="H45" i="24"/>
  <c r="G45" i="24"/>
  <c r="F45" i="24"/>
  <c r="E45" i="24"/>
  <c r="B45" i="24"/>
  <c r="A45" i="24"/>
  <c r="M44" i="24"/>
  <c r="H44" i="24"/>
  <c r="G44" i="24"/>
  <c r="F44" i="24"/>
  <c r="E44" i="24"/>
  <c r="B44" i="24"/>
  <c r="A44" i="24"/>
  <c r="M43" i="24"/>
  <c r="H43" i="24"/>
  <c r="G43" i="24"/>
  <c r="F43" i="24"/>
  <c r="E43" i="24"/>
  <c r="B43" i="24"/>
  <c r="A43" i="24"/>
  <c r="M42" i="24"/>
  <c r="H42" i="24"/>
  <c r="G42" i="24"/>
  <c r="F42" i="24"/>
  <c r="E42" i="24"/>
  <c r="B42" i="24"/>
  <c r="A42" i="24"/>
  <c r="M41" i="24"/>
  <c r="H41" i="24"/>
  <c r="G41" i="24"/>
  <c r="F41" i="24"/>
  <c r="E41" i="24"/>
  <c r="B41" i="24"/>
  <c r="A41" i="24"/>
  <c r="M40" i="24"/>
  <c r="H40" i="24"/>
  <c r="G40" i="24"/>
  <c r="F40" i="24"/>
  <c r="E40" i="24"/>
  <c r="B40" i="24"/>
  <c r="A40" i="24"/>
  <c r="M39" i="24"/>
  <c r="H39" i="24"/>
  <c r="G39" i="24"/>
  <c r="F39" i="24"/>
  <c r="E39" i="24"/>
  <c r="B39" i="24"/>
  <c r="A39" i="24"/>
  <c r="M38" i="24"/>
  <c r="H38" i="24"/>
  <c r="G38" i="24"/>
  <c r="F38" i="24"/>
  <c r="E38" i="24"/>
  <c r="B38" i="24"/>
  <c r="A38" i="24"/>
  <c r="O1" i="24"/>
  <c r="N1" i="24"/>
  <c r="M1" i="24"/>
  <c r="L1" i="24"/>
  <c r="K1" i="24"/>
  <c r="J1" i="24"/>
  <c r="I1" i="24"/>
  <c r="H1" i="24"/>
  <c r="G1" i="24"/>
  <c r="F1" i="24"/>
  <c r="E1" i="24"/>
  <c r="M13" i="23"/>
  <c r="H13" i="23"/>
  <c r="G13" i="23"/>
  <c r="F13" i="23"/>
  <c r="E13" i="23"/>
  <c r="B13" i="23"/>
  <c r="A13" i="23"/>
  <c r="M12" i="23"/>
  <c r="H12" i="23"/>
  <c r="G12" i="23"/>
  <c r="F12" i="23"/>
  <c r="E12" i="23"/>
  <c r="C12" i="23"/>
  <c r="N12" i="23" s="1"/>
  <c r="B12" i="23"/>
  <c r="A12" i="23"/>
  <c r="M11" i="23"/>
  <c r="H11" i="23"/>
  <c r="G11" i="23"/>
  <c r="F11" i="23"/>
  <c r="E11" i="23"/>
  <c r="B11" i="23"/>
  <c r="A11" i="23"/>
  <c r="M10" i="23"/>
  <c r="H10" i="23"/>
  <c r="G10" i="23"/>
  <c r="F10" i="23"/>
  <c r="E10" i="23"/>
  <c r="C10" i="23"/>
  <c r="N10" i="23" s="1"/>
  <c r="B10" i="23"/>
  <c r="A10" i="23"/>
  <c r="O1" i="23"/>
  <c r="N1" i="23"/>
  <c r="M1" i="23"/>
  <c r="L1" i="23"/>
  <c r="K1" i="23"/>
  <c r="J1" i="23"/>
  <c r="I1" i="23"/>
  <c r="H1" i="23"/>
  <c r="G1" i="23"/>
  <c r="F1" i="23"/>
  <c r="E1" i="23"/>
  <c r="M10" i="22"/>
  <c r="H10" i="22"/>
  <c r="F10" i="22"/>
  <c r="E10" i="22"/>
  <c r="C10" i="22"/>
  <c r="B10" i="22"/>
  <c r="A10" i="22"/>
  <c r="M9" i="22"/>
  <c r="H9" i="22"/>
  <c r="F9" i="22"/>
  <c r="E9" i="22"/>
  <c r="C9" i="22"/>
  <c r="N9" i="22" s="1"/>
  <c r="B9" i="22"/>
  <c r="A9" i="22"/>
  <c r="M8" i="22"/>
  <c r="H8" i="22"/>
  <c r="F8" i="22"/>
  <c r="E8" i="22"/>
  <c r="B8" i="22"/>
  <c r="A8" i="22"/>
  <c r="O1" i="22"/>
  <c r="N1" i="22"/>
  <c r="M1" i="22"/>
  <c r="L1" i="22"/>
  <c r="K1" i="22"/>
  <c r="J1" i="22"/>
  <c r="I1" i="22"/>
  <c r="H1" i="22"/>
  <c r="G1" i="22"/>
  <c r="F1" i="22"/>
  <c r="E1" i="22"/>
  <c r="M13" i="21"/>
  <c r="H13" i="21"/>
  <c r="G13" i="21"/>
  <c r="F13" i="21"/>
  <c r="E13" i="21"/>
  <c r="N13" i="21" s="1"/>
  <c r="B13" i="21"/>
  <c r="A13" i="21"/>
  <c r="M12" i="21"/>
  <c r="H12" i="21"/>
  <c r="G12" i="21"/>
  <c r="F12" i="21"/>
  <c r="E12" i="21"/>
  <c r="B12" i="21"/>
  <c r="A12" i="21"/>
  <c r="M11" i="21"/>
  <c r="H11" i="21"/>
  <c r="G11" i="21"/>
  <c r="F11" i="21"/>
  <c r="E11" i="21"/>
  <c r="C11" i="21"/>
  <c r="N11" i="21" s="1"/>
  <c r="B11" i="21"/>
  <c r="A11" i="21"/>
  <c r="M10" i="21"/>
  <c r="H10" i="21"/>
  <c r="G10" i="21"/>
  <c r="F10" i="21"/>
  <c r="E10" i="21"/>
  <c r="B10" i="21"/>
  <c r="A10" i="21"/>
  <c r="O1" i="21"/>
  <c r="N1" i="21"/>
  <c r="M1" i="21"/>
  <c r="L1" i="21"/>
  <c r="K1" i="21"/>
  <c r="J1" i="21"/>
  <c r="I1" i="21"/>
  <c r="H1" i="21"/>
  <c r="G1" i="21"/>
  <c r="F1" i="21"/>
  <c r="E1" i="21"/>
  <c r="M7" i="5"/>
  <c r="M6" i="5"/>
  <c r="H7" i="5"/>
  <c r="H6" i="5"/>
  <c r="G7" i="5"/>
  <c r="G6" i="5"/>
  <c r="F7" i="5"/>
  <c r="F6" i="5"/>
  <c r="E7" i="5"/>
  <c r="E6" i="5"/>
  <c r="N1" i="5"/>
  <c r="M1" i="5"/>
  <c r="L1" i="5"/>
  <c r="K1" i="5"/>
  <c r="J1" i="5"/>
  <c r="I1" i="5"/>
  <c r="H1" i="5"/>
  <c r="F1" i="5"/>
  <c r="E1" i="5"/>
  <c r="C6" i="8"/>
  <c r="B20" i="4"/>
  <c r="B41" i="4" s="1"/>
  <c r="B19" i="4"/>
  <c r="B40" i="4" s="1"/>
  <c r="E29" i="1"/>
  <c r="E30" i="1"/>
  <c r="E31" i="1"/>
  <c r="E22" i="1"/>
  <c r="E23" i="1"/>
  <c r="E24" i="1"/>
  <c r="E25" i="1"/>
  <c r="E26" i="1"/>
  <c r="E27" i="1"/>
  <c r="E28" i="1"/>
  <c r="E21" i="1"/>
  <c r="E15" i="1"/>
  <c r="E16" i="1"/>
  <c r="E17" i="1"/>
  <c r="E14" i="1"/>
  <c r="E13" i="1"/>
  <c r="E12" i="1"/>
  <c r="E7" i="1"/>
  <c r="E8" i="1"/>
  <c r="E9" i="1"/>
  <c r="E10" i="1"/>
  <c r="E11" i="1"/>
  <c r="E6" i="1"/>
  <c r="E18" i="1" s="1"/>
  <c r="E5" i="1"/>
  <c r="E3" i="1"/>
  <c r="E4" i="1"/>
  <c r="E2" i="1"/>
  <c r="D29" i="1"/>
  <c r="D30" i="1"/>
  <c r="D31" i="1"/>
  <c r="D28" i="1"/>
  <c r="D27" i="1"/>
  <c r="D26" i="1"/>
  <c r="D25" i="1"/>
  <c r="D24" i="1"/>
  <c r="D23" i="1"/>
  <c r="D22" i="1"/>
  <c r="D15" i="1"/>
  <c r="D16" i="1"/>
  <c r="D17" i="1"/>
  <c r="D14" i="1"/>
  <c r="D13" i="1"/>
  <c r="D7" i="1"/>
  <c r="D8" i="1"/>
  <c r="D9" i="1"/>
  <c r="D10" i="1"/>
  <c r="D11" i="1"/>
  <c r="D12" i="1"/>
  <c r="D6" i="1"/>
  <c r="D18" i="1" s="1"/>
  <c r="D5" i="1"/>
  <c r="D3" i="1"/>
  <c r="D4" i="1"/>
  <c r="D2" i="1"/>
  <c r="D1" i="1"/>
  <c r="E1" i="1"/>
  <c r="V2" i="4"/>
  <c r="U2" i="4"/>
  <c r="C3" i="8"/>
  <c r="L7" i="5" a="1"/>
  <c r="L51" i="24" a="1"/>
  <c r="L48" i="24" a="1"/>
  <c r="L13" i="21" a="1"/>
  <c r="L42" i="24" a="1"/>
  <c r="L41" i="24" a="1"/>
  <c r="L55" i="24" a="1"/>
  <c r="L13" i="23" a="1"/>
  <c r="L11" i="23" a="1"/>
  <c r="L53" i="24" a="1"/>
  <c r="L12" i="21" a="1"/>
  <c r="L9" i="22" a="1"/>
  <c r="L43" i="24" a="1"/>
  <c r="L10" i="21" a="1"/>
  <c r="L45" i="24" a="1"/>
  <c r="L11" i="21" a="1"/>
  <c r="L50" i="24" a="1"/>
  <c r="L10" i="22" a="1"/>
  <c r="L8" i="22" a="1"/>
  <c r="L38" i="24" a="1"/>
  <c r="L44" i="24" a="1"/>
  <c r="L39" i="24" a="1"/>
  <c r="L46" i="24" a="1"/>
  <c r="L12" i="23" a="1"/>
  <c r="L6" i="5" a="1"/>
  <c r="L47" i="24" a="1"/>
  <c r="L40" i="24" a="1"/>
  <c r="L49" i="24" a="1"/>
  <c r="L54" i="24" a="1"/>
  <c r="L52" i="24" a="1"/>
  <c r="L10" i="23" a="1"/>
  <c r="N10" i="22" l="1"/>
  <c r="A3" i="30"/>
  <c r="A7" i="30" s="1"/>
  <c r="A11" i="30" s="1"/>
  <c r="A15" i="30" s="1"/>
  <c r="A19" i="30" s="1"/>
  <c r="A23" i="30" s="1"/>
  <c r="A27" i="30" s="1"/>
  <c r="A31" i="30" s="1"/>
  <c r="A35" i="30" s="1"/>
  <c r="A39" i="30" s="1"/>
  <c r="A4" i="30"/>
  <c r="A8" i="30" s="1"/>
  <c r="A12" i="30" s="1"/>
  <c r="A16" i="30" s="1"/>
  <c r="A20" i="30" s="1"/>
  <c r="A24" i="30" s="1"/>
  <c r="A28" i="30" s="1"/>
  <c r="A32" i="30" s="1"/>
  <c r="A36" i="30" s="1"/>
  <c r="A40" i="30" s="1"/>
  <c r="A42" i="30" s="1"/>
  <c r="A44" i="30" s="1"/>
  <c r="A46" i="30" s="1"/>
  <c r="A48" i="30" s="1"/>
  <c r="A50" i="30" s="1"/>
  <c r="A5" i="30"/>
  <c r="A9" i="30" s="1"/>
  <c r="A13" i="30" s="1"/>
  <c r="A17" i="30" s="1"/>
  <c r="A21" i="30" s="1"/>
  <c r="A25" i="30" s="1"/>
  <c r="A29" i="30" s="1"/>
  <c r="A33" i="30" s="1"/>
  <c r="A37" i="30" s="1"/>
  <c r="A41" i="30" s="1"/>
  <c r="A43" i="30" s="1"/>
  <c r="A45" i="30" s="1"/>
  <c r="A47" i="30" s="1"/>
  <c r="A49" i="30" s="1"/>
  <c r="A51" i="30" s="1"/>
  <c r="G5" i="38"/>
  <c r="G13" i="38"/>
  <c r="G6" i="38"/>
  <c r="G2" i="38"/>
  <c r="G7" i="38"/>
  <c r="G8" i="38"/>
  <c r="G9" i="38"/>
  <c r="G10" i="38"/>
  <c r="G3" i="38"/>
  <c r="G11" i="38"/>
  <c r="G4" i="38"/>
  <c r="G12" i="38"/>
  <c r="I9" i="31"/>
  <c r="I10" i="31"/>
  <c r="I3" i="31"/>
  <c r="I4" i="31"/>
  <c r="I2" i="31"/>
  <c r="I6" i="31"/>
  <c r="I5" i="31"/>
  <c r="I7" i="31"/>
  <c r="I8" i="31"/>
  <c r="I11" i="31"/>
  <c r="I53" i="30"/>
  <c r="E1" i="34" s="1" a="1"/>
  <c r="E1" i="34" s="1"/>
  <c r="I10" i="7"/>
  <c r="I18" i="7"/>
  <c r="I26" i="7"/>
  <c r="I54" i="30"/>
  <c r="I3" i="7"/>
  <c r="I11" i="7"/>
  <c r="I19" i="7"/>
  <c r="I27" i="7"/>
  <c r="I9" i="7"/>
  <c r="I55" i="30"/>
  <c r="I4" i="7"/>
  <c r="I12" i="7"/>
  <c r="I20" i="7"/>
  <c r="I28" i="7"/>
  <c r="I56" i="30"/>
  <c r="I5" i="7"/>
  <c r="I13" i="7"/>
  <c r="I21" i="7"/>
  <c r="I29" i="7"/>
  <c r="I17" i="7"/>
  <c r="I57" i="30"/>
  <c r="I6" i="7"/>
  <c r="I14" i="7"/>
  <c r="I22" i="7"/>
  <c r="I2" i="7"/>
  <c r="I58" i="30"/>
  <c r="I7" i="7"/>
  <c r="I15" i="7"/>
  <c r="I23" i="7"/>
  <c r="I52" i="30"/>
  <c r="I59" i="30"/>
  <c r="I8" i="7"/>
  <c r="I16" i="7"/>
  <c r="I24" i="7"/>
  <c r="I25" i="7"/>
  <c r="C11" i="26"/>
  <c r="C12" i="26"/>
  <c r="L39" i="24"/>
  <c r="L47" i="24"/>
  <c r="L55" i="24"/>
  <c r="L51" i="24"/>
  <c r="L54" i="24"/>
  <c r="L41" i="24"/>
  <c r="L49" i="24"/>
  <c r="L42" i="24"/>
  <c r="L50" i="24"/>
  <c r="L46" i="24"/>
  <c r="L52" i="24"/>
  <c r="L45" i="24"/>
  <c r="L53" i="24"/>
  <c r="L43" i="24"/>
  <c r="L38" i="24"/>
  <c r="L44" i="24"/>
  <c r="L40" i="24"/>
  <c r="L48" i="24"/>
  <c r="L12" i="23"/>
  <c r="L10" i="23"/>
  <c r="L13" i="23"/>
  <c r="L11" i="23"/>
  <c r="L10" i="22"/>
  <c r="L8" i="22"/>
  <c r="L9" i="22"/>
  <c r="L12" i="21"/>
  <c r="L11" i="21"/>
  <c r="L10" i="21"/>
  <c r="L13" i="21"/>
  <c r="L7" i="5"/>
  <c r="L6" i="5"/>
  <c r="E1" i="35" l="1" a="1"/>
  <c r="E1" i="35" s="1"/>
  <c r="A53" i="30"/>
  <c r="A55" i="30" s="1"/>
  <c r="A57" i="30" s="1"/>
  <c r="A59" i="30" s="1"/>
  <c r="A3" i="31" s="1"/>
  <c r="A5" i="31" s="1"/>
  <c r="A7" i="31" s="1"/>
  <c r="A9" i="31" s="1"/>
  <c r="A11" i="31" s="1"/>
  <c r="A52" i="30"/>
  <c r="A54" i="30" s="1"/>
  <c r="A56" i="30" s="1"/>
  <c r="A58" i="30" s="1"/>
  <c r="A2" i="31" s="1"/>
  <c r="A4" i="31" s="1"/>
  <c r="A6" i="31" s="1"/>
  <c r="A8" i="31" s="1"/>
  <c r="A10" i="31" s="1"/>
  <c r="C13" i="26"/>
  <c r="D10" i="26" s="1"/>
  <c r="D11" i="26" l="1"/>
  <c r="D12" i="26"/>
  <c r="D13" i="26" l="1"/>
  <c r="L2" i="4" l="1"/>
  <c r="K2" i="4"/>
  <c r="D28" i="13"/>
  <c r="D14" i="7" s="1"/>
  <c r="P15" i="7" s="1"/>
  <c r="D27" i="13"/>
  <c r="D12" i="7" s="1"/>
  <c r="P13" i="7" s="1"/>
  <c r="D25" i="13"/>
  <c r="D8" i="7" s="1"/>
  <c r="P9" i="7" s="1"/>
  <c r="D24" i="13"/>
  <c r="D21" i="13"/>
  <c r="D2" i="7" s="1"/>
  <c r="P3" i="7" s="1"/>
  <c r="E1" i="32" s="1" a="1"/>
  <c r="E1" i="32" s="1"/>
  <c r="D20" i="13"/>
  <c r="D19" i="13"/>
  <c r="B28" i="7"/>
  <c r="B26" i="7"/>
  <c r="B24" i="7"/>
  <c r="B22" i="7"/>
  <c r="B20" i="7"/>
  <c r="B18" i="7"/>
  <c r="B16" i="7"/>
  <c r="C20" i="7"/>
  <c r="C22" i="7"/>
  <c r="C24" i="7"/>
  <c r="C26" i="7"/>
  <c r="C28" i="7"/>
  <c r="B29" i="7"/>
  <c r="B27" i="7"/>
  <c r="B25" i="7"/>
  <c r="B23" i="7"/>
  <c r="B21" i="7"/>
  <c r="B19" i="7"/>
  <c r="C18" i="7"/>
  <c r="C16" i="7"/>
  <c r="B17" i="7"/>
  <c r="C29" i="7"/>
  <c r="C27" i="7"/>
  <c r="C25" i="7"/>
  <c r="C23" i="7"/>
  <c r="C21" i="7"/>
  <c r="C19" i="7"/>
  <c r="C15" i="7"/>
  <c r="C13" i="7"/>
  <c r="B15" i="7"/>
  <c r="C14" i="7"/>
  <c r="B14" i="7"/>
  <c r="B13" i="7"/>
  <c r="C12" i="7"/>
  <c r="B12" i="7"/>
  <c r="D6" i="7"/>
  <c r="P7" i="7" s="1"/>
  <c r="C11" i="7"/>
  <c r="C9" i="7"/>
  <c r="B11" i="7"/>
  <c r="C10" i="7"/>
  <c r="B10" i="7"/>
  <c r="B9" i="7"/>
  <c r="C8" i="7"/>
  <c r="B8" i="7"/>
  <c r="C7" i="7"/>
  <c r="B7" i="7"/>
  <c r="C6" i="7"/>
  <c r="B6" i="7"/>
  <c r="C5" i="7"/>
  <c r="B5" i="7"/>
  <c r="C4" i="7"/>
  <c r="B4" i="7"/>
  <c r="B3" i="7"/>
  <c r="C2" i="7"/>
  <c r="B2" i="7"/>
  <c r="C7" i="5"/>
  <c r="N7" i="5" s="1"/>
  <c r="C6" i="5"/>
  <c r="N6" i="5" s="1"/>
  <c r="A7" i="5"/>
  <c r="A6" i="5"/>
  <c r="H20" i="14"/>
  <c r="H19" i="14"/>
  <c r="Z15" i="14"/>
  <c r="T15" i="14"/>
  <c r="AC14" i="14"/>
  <c r="T14" i="14"/>
  <c r="N14" i="14"/>
  <c r="E14" i="14"/>
  <c r="C77" i="13"/>
  <c r="C76" i="13"/>
  <c r="E74" i="13"/>
  <c r="C74" i="13"/>
  <c r="E70" i="13"/>
  <c r="C70" i="13"/>
  <c r="C69" i="13"/>
  <c r="C68" i="13"/>
  <c r="C65" i="13"/>
  <c r="D64" i="13"/>
  <c r="C64" i="13"/>
  <c r="E62" i="13"/>
  <c r="C62" i="13"/>
  <c r="C61" i="13"/>
  <c r="E58" i="13"/>
  <c r="C58" i="13"/>
  <c r="C57" i="13"/>
  <c r="D56" i="13"/>
  <c r="C56" i="13"/>
  <c r="E53" i="13"/>
  <c r="D53" i="13"/>
  <c r="D65" i="13" s="1"/>
  <c r="E52" i="13"/>
  <c r="D52" i="13"/>
  <c r="D76" i="13" s="1"/>
  <c r="E50" i="13"/>
  <c r="D50" i="13"/>
  <c r="D62" i="13" s="1"/>
  <c r="E49" i="13"/>
  <c r="E73" i="13" s="1"/>
  <c r="AC10" i="14" s="1"/>
  <c r="D49" i="13"/>
  <c r="D73" i="13" s="1"/>
  <c r="C49" i="13"/>
  <c r="C73" i="13" s="1"/>
  <c r="C47" i="13"/>
  <c r="D47" i="13" s="1"/>
  <c r="E46" i="13"/>
  <c r="D46" i="13"/>
  <c r="D70" i="13" s="1"/>
  <c r="E45" i="13"/>
  <c r="D45" i="13"/>
  <c r="D69" i="13" s="1"/>
  <c r="E44" i="13"/>
  <c r="D44" i="13"/>
  <c r="D68" i="13" s="1"/>
  <c r="E40" i="13"/>
  <c r="D40" i="13"/>
  <c r="C38" i="13"/>
  <c r="E38" i="13" s="1"/>
  <c r="E37" i="13"/>
  <c r="AC4" i="14" s="1"/>
  <c r="D37" i="13"/>
  <c r="C36" i="13"/>
  <c r="C39" i="13" s="1"/>
  <c r="C35" i="13"/>
  <c r="D35" i="13" s="1"/>
  <c r="E34" i="13"/>
  <c r="D34" i="13"/>
  <c r="E33" i="13"/>
  <c r="D33" i="13"/>
  <c r="E32" i="13"/>
  <c r="D32" i="13"/>
  <c r="E28" i="13"/>
  <c r="E27" i="13"/>
  <c r="E25" i="13"/>
  <c r="E24" i="13"/>
  <c r="E22" i="13"/>
  <c r="C22" i="13"/>
  <c r="D22" i="13" s="1"/>
  <c r="D4" i="7" s="1"/>
  <c r="P5" i="7" s="1"/>
  <c r="E21" i="13"/>
  <c r="E20" i="13"/>
  <c r="E19" i="13"/>
  <c r="E15" i="13"/>
  <c r="D28" i="7"/>
  <c r="P29" i="7" s="1"/>
  <c r="E14" i="13"/>
  <c r="D14" i="13"/>
  <c r="D26" i="7" s="1"/>
  <c r="P27" i="7" s="1"/>
  <c r="E12" i="13"/>
  <c r="D12" i="13"/>
  <c r="D22" i="7" s="1"/>
  <c r="P23" i="7" s="1"/>
  <c r="C11" i="13"/>
  <c r="E11" i="13" s="1"/>
  <c r="C9" i="13"/>
  <c r="C10" i="13" s="1"/>
  <c r="E8" i="13"/>
  <c r="D8" i="13"/>
  <c r="D16" i="7" s="1"/>
  <c r="P17" i="7" s="1"/>
  <c r="E7" i="13"/>
  <c r="E6" i="13"/>
  <c r="D6" i="13"/>
  <c r="B17" i="4"/>
  <c r="B38" i="4" s="1"/>
  <c r="B18" i="4"/>
  <c r="B39" i="4" s="1"/>
  <c r="B3" i="4"/>
  <c r="B24" i="4" s="1"/>
  <c r="B4" i="4"/>
  <c r="B25" i="4" s="1"/>
  <c r="B5" i="4"/>
  <c r="B26" i="4" s="1"/>
  <c r="B6" i="4"/>
  <c r="B27" i="4" s="1"/>
  <c r="B7" i="4"/>
  <c r="B28" i="4" s="1"/>
  <c r="B8" i="4"/>
  <c r="B29" i="4" s="1"/>
  <c r="B9" i="4"/>
  <c r="B30" i="4" s="1"/>
  <c r="B10" i="4"/>
  <c r="B31" i="4" s="1"/>
  <c r="B11" i="4"/>
  <c r="B32" i="4" s="1"/>
  <c r="B14" i="4"/>
  <c r="B35" i="4" s="1"/>
  <c r="B15" i="4"/>
  <c r="B36" i="4" s="1"/>
  <c r="B16" i="4"/>
  <c r="B37" i="4" s="1"/>
  <c r="T2" i="4"/>
  <c r="S2" i="4"/>
  <c r="P2" i="4"/>
  <c r="Q2" i="4"/>
  <c r="R2" i="4"/>
  <c r="M2" i="4"/>
  <c r="N2" i="4"/>
  <c r="O2" i="4"/>
  <c r="D2" i="4"/>
  <c r="E2" i="4"/>
  <c r="F2" i="4"/>
  <c r="G2" i="4"/>
  <c r="H2" i="4"/>
  <c r="I2" i="4"/>
  <c r="J2" i="4"/>
  <c r="C2" i="4"/>
  <c r="E64" i="13" l="1"/>
  <c r="D74" i="13"/>
  <c r="C23" i="13"/>
  <c r="C26" i="13" s="1"/>
  <c r="D26" i="13" s="1"/>
  <c r="D10" i="7" s="1"/>
  <c r="P11" i="7" s="1"/>
  <c r="C4" i="5"/>
  <c r="N4" i="5" s="1"/>
  <c r="C8" i="21"/>
  <c r="N8" i="21" s="1"/>
  <c r="C2" i="5"/>
  <c r="N2" i="5" s="1"/>
  <c r="C2" i="21"/>
  <c r="N2" i="21" s="1"/>
  <c r="C6" i="21"/>
  <c r="N6" i="21" s="1"/>
  <c r="C4" i="21"/>
  <c r="N4" i="21" s="1"/>
  <c r="C12" i="21"/>
  <c r="N12" i="21" s="1"/>
  <c r="E47" i="13"/>
  <c r="E71" i="13" s="1"/>
  <c r="C59" i="13"/>
  <c r="C48" i="13"/>
  <c r="C72" i="13" s="1"/>
  <c r="E35" i="13"/>
  <c r="C71" i="13"/>
  <c r="C5" i="26"/>
  <c r="C6" i="26"/>
  <c r="C17" i="26"/>
  <c r="C18" i="26"/>
  <c r="C19" i="26"/>
  <c r="D59" i="13"/>
  <c r="D71" i="13"/>
  <c r="D23" i="13"/>
  <c r="E56" i="13"/>
  <c r="D61" i="13"/>
  <c r="E76" i="13"/>
  <c r="E68" i="13"/>
  <c r="D58" i="13"/>
  <c r="E23" i="13"/>
  <c r="C13" i="13"/>
  <c r="C10" i="21"/>
  <c r="N10" i="21" s="1"/>
  <c r="E10" i="13"/>
  <c r="D10" i="13"/>
  <c r="D39" i="13"/>
  <c r="E39" i="13"/>
  <c r="AC5" i="14"/>
  <c r="D9" i="13"/>
  <c r="D18" i="7" s="1"/>
  <c r="P19" i="7" s="1"/>
  <c r="E9" i="13"/>
  <c r="D48" i="13"/>
  <c r="D57" i="13"/>
  <c r="D77" i="13"/>
  <c r="E36" i="13"/>
  <c r="C51" i="13"/>
  <c r="E57" i="13"/>
  <c r="E59" i="13"/>
  <c r="E61" i="13"/>
  <c r="AC6" i="14" s="1"/>
  <c r="E65" i="13"/>
  <c r="E69" i="13"/>
  <c r="E77" i="13"/>
  <c r="D11" i="13"/>
  <c r="D20" i="7" s="1"/>
  <c r="P21" i="7" s="1"/>
  <c r="D38" i="13"/>
  <c r="D36" i="13"/>
  <c r="E48" i="13"/>
  <c r="C60" i="13"/>
  <c r="G1" i="5"/>
  <c r="C20" i="26" l="1"/>
  <c r="C7" i="26"/>
  <c r="E22" i="26" s="1"/>
  <c r="H9" i="14"/>
  <c r="C55" i="24"/>
  <c r="N55" i="24" s="1"/>
  <c r="C54" i="24"/>
  <c r="N54" i="24" s="1"/>
  <c r="C53" i="24"/>
  <c r="N53" i="24" s="1"/>
  <c r="C52" i="24"/>
  <c r="N52" i="24" s="1"/>
  <c r="C51" i="24"/>
  <c r="N51" i="24" s="1"/>
  <c r="C50" i="24"/>
  <c r="N50" i="24" s="1"/>
  <c r="C49" i="24"/>
  <c r="N49" i="24" s="1"/>
  <c r="C48" i="24"/>
  <c r="N48" i="24" s="1"/>
  <c r="C47" i="24"/>
  <c r="N47" i="24" s="1"/>
  <c r="C46" i="24"/>
  <c r="N46" i="24" s="1"/>
  <c r="C45" i="24"/>
  <c r="N45" i="24" s="1"/>
  <c r="C44" i="24"/>
  <c r="N44" i="24" s="1"/>
  <c r="C43" i="24"/>
  <c r="N43" i="24" s="1"/>
  <c r="C42" i="24"/>
  <c r="N42" i="24" s="1"/>
  <c r="C41" i="24"/>
  <c r="N41" i="24" s="1"/>
  <c r="C40" i="24"/>
  <c r="N40" i="24" s="1"/>
  <c r="C39" i="24"/>
  <c r="N39" i="24" s="1"/>
  <c r="C38" i="24"/>
  <c r="N38" i="24" s="1"/>
  <c r="E26" i="13"/>
  <c r="D60" i="13"/>
  <c r="D72" i="13"/>
  <c r="H4" i="14"/>
  <c r="E60" i="13"/>
  <c r="E72" i="13"/>
  <c r="D13" i="13"/>
  <c r="E13" i="13"/>
  <c r="E51" i="13"/>
  <c r="C75" i="13"/>
  <c r="D51" i="13"/>
  <c r="C63" i="13"/>
  <c r="C26" i="26" l="1"/>
  <c r="C25" i="26"/>
  <c r="D24" i="7"/>
  <c r="P25" i="7" s="1"/>
  <c r="D75" i="13"/>
  <c r="D63" i="13"/>
  <c r="E75" i="13"/>
  <c r="E63" i="13"/>
  <c r="E4" i="14"/>
  <c r="A2" i="32" l="1" a="1"/>
  <c r="A2" i="32" s="1"/>
  <c r="E5" i="20"/>
  <c r="Z10" i="14"/>
  <c r="C13" i="23" l="1"/>
  <c r="N13" i="23" s="1"/>
  <c r="C11" i="23"/>
  <c r="N11" i="23" s="1"/>
  <c r="E6" i="20"/>
  <c r="Z6" i="14"/>
  <c r="Z5" i="14"/>
  <c r="Z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1C450830-0996-474E-904E-79364CFE5575}">
      <text>
        <r>
          <rPr>
            <b/>
            <sz val="9"/>
            <color indexed="81"/>
            <rFont val="Tahoma"/>
            <family val="2"/>
          </rPr>
          <t>Alexandre Pannier:</t>
        </r>
        <r>
          <rPr>
            <sz val="9"/>
            <color indexed="81"/>
            <rFont val="Tahoma"/>
            <family val="2"/>
          </rPr>
          <t xml:space="preserve">
Après pertes liées au transport</t>
        </r>
      </text>
    </comment>
    <comment ref="C12" authorId="0" shapeId="0" xr:uid="{4F0DBFB6-436A-4675-B607-5FD169970100}">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16ACB276-8A70-4F3A-9049-B4E6E18D617C}">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84D4D02A-C5A0-478E-9CB2-F0BB15B18002}">
      <text>
        <r>
          <rPr>
            <b/>
            <sz val="9"/>
            <color indexed="81"/>
            <rFont val="Tahoma"/>
            <family val="2"/>
          </rPr>
          <t>Alexandre Pannier:</t>
        </r>
        <r>
          <rPr>
            <sz val="9"/>
            <color indexed="81"/>
            <rFont val="Tahoma"/>
            <family val="2"/>
          </rPr>
          <t xml:space="preserve">
Utilisation du total SIFCO faute de mieux pour 2015</t>
        </r>
      </text>
    </comment>
    <comment ref="X4" authorId="0" shapeId="0" xr:uid="{2D259912-B3CA-44C1-9C0A-814C738073CD}">
      <text>
        <r>
          <rPr>
            <b/>
            <sz val="9"/>
            <color indexed="81"/>
            <rFont val="Tahoma"/>
            <family val="2"/>
          </rPr>
          <t>Alexandre Pannier:</t>
        </r>
        <r>
          <rPr>
            <sz val="9"/>
            <color indexed="81"/>
            <rFont val="Tahoma"/>
            <family val="2"/>
          </rPr>
          <t xml:space="preserve">
Utilisation du total SIFCO faute de mieux pour 2015</t>
        </r>
      </text>
    </comment>
    <comment ref="X5" authorId="0" shapeId="0" xr:uid="{C71A802E-CECA-4B7F-B14D-D9C03257AB03}">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EDC9C50-E7F7-48FC-9B6F-C8084536BD2D}">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48CE2146-4F78-43C0-8DE1-56201A5F1DEC}">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29598E9D-5AFD-43B5-8A6B-3AC6C06DF28C}">
      <text>
        <r>
          <rPr>
            <b/>
            <sz val="9"/>
            <color indexed="81"/>
            <rFont val="Tahoma"/>
            <family val="2"/>
          </rPr>
          <t>Alexandre Pannier:</t>
        </r>
        <r>
          <rPr>
            <sz val="9"/>
            <color indexed="81"/>
            <rFont val="Tahoma"/>
            <family val="2"/>
          </rPr>
          <t xml:space="preserve">
Comprend également l'aquaculture</t>
        </r>
      </text>
    </comment>
    <comment ref="I15" authorId="0" shapeId="0" xr:uid="{BA95DF31-7F29-4261-A2E4-0FB7040C0255}">
      <text>
        <r>
          <rPr>
            <b/>
            <sz val="9"/>
            <color indexed="81"/>
            <rFont val="Tahoma"/>
            <family val="2"/>
          </rPr>
          <t>Alexandre Pannier:</t>
        </r>
        <r>
          <rPr>
            <sz val="9"/>
            <color indexed="81"/>
            <rFont val="Tahoma"/>
            <family val="2"/>
          </rPr>
          <t xml:space="preserve">
Comprend également l'aquaculture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tc={74A5A5B0-3BDA-41EB-B5F0-56F1191C85A5}</author>
    <author>Monniot Caroline</author>
  </authors>
  <commentList>
    <comment ref="B1" authorId="0" shapeId="0" xr:uid="{74A5A5B0-3BDA-41EB-B5F0-56F1191C85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bulletin conjoncture Agreste</t>
      </text>
    </comment>
    <comment ref="H26" authorId="1" shapeId="0" xr:uid="{4D816D6A-C365-4947-B739-6F0EAD533D52}">
      <text>
        <r>
          <rPr>
            <b/>
            <sz val="9"/>
            <color indexed="81"/>
            <rFont val="Tahoma"/>
            <family val="2"/>
          </rPr>
          <t>Monniot Caroline:</t>
        </r>
        <r>
          <rPr>
            <sz val="9"/>
            <color indexed="81"/>
            <rFont val="Tahoma"/>
            <family val="2"/>
          </rPr>
          <t xml:space="preserve">
15 ktéc de virand UK dédouanée en FR et réexportée</t>
        </r>
      </text>
    </comment>
    <comment ref="E27" authorId="1" shapeId="0" xr:uid="{915F41AF-0A35-498F-9894-62326E8B3B35}">
      <text>
        <r>
          <rPr>
            <b/>
            <sz val="9"/>
            <color indexed="81"/>
            <rFont val="Tahoma"/>
            <family val="2"/>
          </rPr>
          <t>Monniot Caroline:</t>
        </r>
        <r>
          <rPr>
            <sz val="9"/>
            <color indexed="81"/>
            <rFont val="Tahoma"/>
            <family val="2"/>
          </rPr>
          <t xml:space="preserve">
D'après OVLVeau (2,7ktéc exportés par les 3 princpiaux faiseurs)</t>
        </r>
      </text>
    </comment>
    <comment ref="H27" authorId="1" shapeId="0" xr:uid="{FDC585EA-BFB6-42A5-99C6-CB1133B8C0FD}">
      <text>
        <r>
          <rPr>
            <b/>
            <sz val="9"/>
            <color indexed="81"/>
            <rFont val="Tahoma"/>
            <family val="2"/>
          </rPr>
          <t>Monniot Caroline:</t>
        </r>
        <r>
          <rPr>
            <sz val="9"/>
            <color indexed="81"/>
            <rFont val="Tahoma"/>
            <family val="2"/>
          </rPr>
          <t xml:space="preserve">
35ktéc de viande britannique réexportée et 10,4ktéc de viande importée pour McDo NL et réexportée aux Pays-Bas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<sst xmlns="http://schemas.openxmlformats.org/spreadsheetml/2006/main" count="1825" uniqueCount="821">
  <si>
    <t>Niveau d'aggrégation</t>
  </si>
  <si>
    <t>Liste des produits</t>
  </si>
  <si>
    <t>Contraintes de conservation de la masse</t>
  </si>
  <si>
    <t>Remarque</t>
  </si>
  <si>
    <t>Hypothèse</t>
  </si>
  <si>
    <t>Zone filière</t>
  </si>
  <si>
    <t>Bovins finis</t>
  </si>
  <si>
    <t>Gros bovins</t>
  </si>
  <si>
    <t>3</t>
  </si>
  <si>
    <t>4</t>
  </si>
  <si>
    <t>5</t>
  </si>
  <si>
    <t>Matières de 1ère et 2nde transformation</t>
  </si>
  <si>
    <t>1</t>
  </si>
  <si>
    <t>Carcasses</t>
  </si>
  <si>
    <t>Carcasses, fraîches</t>
  </si>
  <si>
    <t>2</t>
  </si>
  <si>
    <t>Morceaux</t>
  </si>
  <si>
    <t>Morceaux, frais</t>
  </si>
  <si>
    <t>Morceaux, congelés</t>
  </si>
  <si>
    <t>VSSF</t>
  </si>
  <si>
    <t>Liste des secteurs</t>
  </si>
  <si>
    <t>Élevage</t>
  </si>
  <si>
    <t>1ère et 2nde transformation</t>
  </si>
  <si>
    <t>Débouchés</t>
  </si>
  <si>
    <t>Alimentation humaine</t>
  </si>
  <si>
    <t>Vente directe et autoconsommation</t>
  </si>
  <si>
    <t>GMS</t>
  </si>
  <si>
    <t>RHD</t>
  </si>
  <si>
    <t>TABLE RESSOURCES</t>
  </si>
  <si>
    <t>TABLE EMPLOIS</t>
  </si>
  <si>
    <t>Origine</t>
  </si>
  <si>
    <t>Destination</t>
  </si>
  <si>
    <t>Valeur</t>
  </si>
  <si>
    <t>Unité</t>
  </si>
  <si>
    <t>Incertitude</t>
  </si>
  <si>
    <t>Source</t>
  </si>
  <si>
    <t>Echanges Elevage</t>
  </si>
  <si>
    <t>kt</t>
  </si>
  <si>
    <t>Prodcom</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</si>
  <si>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</si>
  <si>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</si>
  <si>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</si>
  <si>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</si>
  <si>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</si>
  <si>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</si>
  <si>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</si>
  <si>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</si>
  <si>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</si>
  <si>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</si>
  <si>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</si>
  <si>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</si>
  <si>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</si>
  <si>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</si>
  <si>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</si>
  <si>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</si>
  <si>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</si>
  <si>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</si>
  <si>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</si>
  <si>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</si>
  <si>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</si>
  <si>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</si>
  <si>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</si>
  <si>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</si>
  <si>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</si>
  <si>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</si>
  <si>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</si>
  <si>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</si>
  <si>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</si>
  <si>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</si>
  <si>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</si>
  <si>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</si>
  <si>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</si>
  <si>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</si>
  <si>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</si>
  <si>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</si>
  <si>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</si>
  <si>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</si>
  <si>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</si>
  <si>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</si>
  <si>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</si>
  <si>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</si>
  <si>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</si>
  <si>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</si>
  <si>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</si>
  <si>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</si>
  <si>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</si>
  <si>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</si>
  <si>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</si>
  <si>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</si>
  <si>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</si>
  <si>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</si>
  <si>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</si>
  <si>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</si>
  <si>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</si>
  <si>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</si>
  <si>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</si>
  <si>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</si>
  <si>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</si>
  <si>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</si>
  <si>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</si>
  <si>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</si>
  <si>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</si>
  <si>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</si>
  <si>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</si>
  <si>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</si>
  <si>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</si>
  <si>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</si>
  <si>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</si>
  <si>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</si>
  <si>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</si>
  <si>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</si>
  <si>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</si>
  <si>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</si>
  <si>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</si>
  <si>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</si>
  <si>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</si>
  <si>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</si>
  <si>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</si>
  <si>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</si>
  <si>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</si>
  <si>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</si>
  <si>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</si>
  <si>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</si>
  <si>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</si>
  <si>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</si>
  <si>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</si>
  <si>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</si>
  <si>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</si>
  <si>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</si>
  <si>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</si>
  <si>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</si>
  <si>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</si>
  <si>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</si>
  <si>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</si>
  <si>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</si>
  <si>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</si>
  <si>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</si>
  <si>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</si>
  <si>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</si>
  <si>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</si>
  <si>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</si>
  <si>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</si>
  <si>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</si>
  <si>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</si>
  <si>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</si>
  <si>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</si>
  <si>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</si>
  <si>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</si>
  <si>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</si>
  <si>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</si>
  <si>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</si>
  <si>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</si>
  <si>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</si>
  <si>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</si>
  <si>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</si>
  <si>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</si>
  <si>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</si>
  <si>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</si>
  <si>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</si>
  <si>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</si>
  <si>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</si>
  <si>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10111140</t>
  </si>
  <si>
    <t>10111190</t>
  </si>
  <si>
    <t>10112000</t>
  </si>
  <si>
    <t>10113100</t>
  </si>
  <si>
    <t>10113910</t>
  </si>
  <si>
    <t>10114200</t>
  </si>
  <si>
    <t>10114300</t>
  </si>
  <si>
    <t>:</t>
  </si>
  <si>
    <t>10115070</t>
  </si>
  <si>
    <t>10116030</t>
  </si>
  <si>
    <t>10116090</t>
  </si>
  <si>
    <t>10131200</t>
  </si>
  <si>
    <t>10131430</t>
  </si>
  <si>
    <t>10131460</t>
  </si>
  <si>
    <t>10131515</t>
  </si>
  <si>
    <t>10131585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</si>
  <si>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</si>
  <si>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</si>
  <si>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</si>
  <si>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</si>
  <si>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</si>
  <si>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</si>
  <si>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</si>
  <si>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</si>
  <si>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</si>
  <si>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</si>
  <si>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</si>
  <si>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</si>
  <si>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</si>
  <si>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</si>
  <si>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</si>
  <si>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</si>
  <si>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</si>
  <si>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</si>
  <si>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</si>
  <si>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</si>
  <si>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</si>
  <si>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</si>
  <si>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</si>
  <si>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Equins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</si>
  <si>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</si>
  <si>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</si>
  <si>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</si>
  <si>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</si>
  <si>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</si>
  <si>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</si>
  <si>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</si>
  <si>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</si>
  <si>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</si>
  <si>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</si>
  <si>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</si>
  <si>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</si>
  <si>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</si>
  <si>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</si>
  <si>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</si>
  <si>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</si>
  <si>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</si>
  <si>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</si>
  <si>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</si>
  <si>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</si>
  <si>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</si>
  <si>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</si>
  <si>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Production 10.11</t>
  </si>
  <si>
    <t>Morceaux frais</t>
  </si>
  <si>
    <t>Morceaux congelés</t>
  </si>
  <si>
    <t>Rendements d'abattage-découpe Veaux</t>
  </si>
  <si>
    <t>Rendements d'abattage-découpe Gros bovins</t>
  </si>
  <si>
    <t>Echanges de produits transformés issus de coproduits</t>
  </si>
  <si>
    <t>Débouchés Coproduits</t>
  </si>
  <si>
    <t>Hors SIFCO</t>
  </si>
  <si>
    <t>Production vendue, exportations et importations [ds-056120__custom_15265631]</t>
  </si>
  <si>
    <t>Dernière mise à jour:</t>
  </si>
  <si>
    <t>06/02/2025 11:00</t>
  </si>
  <si>
    <t>Fréquence</t>
  </si>
  <si>
    <t>PRCCODE (Libellés)</t>
  </si>
  <si>
    <t>Viandes bovines, fraîches ou réfrigérées, en carcasses, demi-carcasses ou quartiers</t>
  </si>
  <si>
    <t>Viandes bovines, fraîches ou réfrigérées, en morceaux</t>
  </si>
  <si>
    <t>Abats comestibles d’animaux de boucherie, frais ou réfrigérés</t>
  </si>
  <si>
    <t>Viandes bovines congelées ou surgelées, en carcasses, demi-carcasses ou quartiers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</si>
  <si>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</si>
  <si>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</si>
  <si>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</si>
  <si>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Graisses de bovins, ovins, caprins, brutes ou fondues</t>
  </si>
  <si>
    <t>Boyaux, vessies et estomacs d’animaux (à l’exclusion des poissons), entiers ou en morceaux</t>
  </si>
  <si>
    <t>Autres déchets ne convenant pas à la consommation humaine (à l’exclusion des poissons, boyaux, vessies et estomacs)</t>
  </si>
  <si>
    <t>Viandes bovines, salées, en saumure, séchées ou fumées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</si>
  <si>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</si>
  <si>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</si>
  <si>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</si>
  <si>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Préparations et conserves de viandes de l’espèce bovine (à l’exclusion des saucisses, saucissons et produits similaires, des préparations finement homogénéisées, des préparations à base de foie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</si>
  <si>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</si>
  <si>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</si>
  <si>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</si>
  <si>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</si>
  <si>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</si>
  <si>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</si>
  <si>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</si>
  <si>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</si>
  <si>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</si>
  <si>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Données extraites le06/02/2025 12:52:03 depuis [ESTAT]</t>
  </si>
  <si>
    <t>Données extraites le06/02/2025 12:50:03 depuis [ESTAT]</t>
  </si>
  <si>
    <t>Commerce UE depuis 1988 par SH2,4,6 et NC8 [ds-045409__custom_15281585]</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</si>
  <si>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</si>
  <si>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</si>
  <si>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</si>
  <si>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</si>
  <si>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</si>
  <si>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</si>
  <si>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</si>
  <si>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</si>
  <si>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</si>
  <si>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</si>
  <si>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</si>
  <si>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010229</t>
  </si>
  <si>
    <t>Bovins domestiques vivants (à l'excl. des animaux reproducteurs de race pure)</t>
  </si>
  <si>
    <t>02011000</t>
  </si>
  <si>
    <t>Carcasses ou demi-carcasses, de bovins, fraîches ou réfrigérées</t>
  </si>
  <si>
    <t>02012020</t>
  </si>
  <si>
    <t>Quartiers dits "compensés", de bovins, non désossés, frais ou réfrigérés</t>
  </si>
  <si>
    <t>02012030</t>
  </si>
  <si>
    <t>Quartiers avant de bovins, attenants ou séparés, non désossés, frais ou réfrigérés</t>
  </si>
  <si>
    <t>02012050</t>
  </si>
  <si>
    <t>Quartiers arrière de bovins, attenants ou séparés, non désossés, frais ou réfrigérés</t>
  </si>
  <si>
    <t>02012090</t>
  </si>
  <si>
    <t>Viandes de bovins, non désossées, fraîches ou réfrigérées (à l'excl. des carcasses et demi-carcasses, des quartiers compensés et des quartiers avant et arrière)</t>
  </si>
  <si>
    <t>02013000</t>
  </si>
  <si>
    <t>Viandes désossées de bovins, fraîches ou réfrigérées</t>
  </si>
  <si>
    <t>02021000</t>
  </si>
  <si>
    <t>Carcasses ou demi-carcasses, de bovins, congelées</t>
  </si>
  <si>
    <t>02022010</t>
  </si>
  <si>
    <t>Quartiers compensés de bovins, non désossés, congelés</t>
  </si>
  <si>
    <t>02022030</t>
  </si>
  <si>
    <t>Quartiers avant de bovins, attenants ou séparés, non désossés, congelés</t>
  </si>
  <si>
    <t>02022050</t>
  </si>
  <si>
    <t>Quartiers arrière de bovins, attenants ou séparés, non désossés, congelés</t>
  </si>
  <si>
    <t>02022090</t>
  </si>
  <si>
    <t>Viandes de bovins, non désossées, congelées (à l'excl. des carcasses et demi-carcasses, des quartiers compensés et des quartiers avant et arrière)</t>
  </si>
  <si>
    <t>02023010</t>
  </si>
  <si>
    <t>Quartiers avant de bovins, désossés, congelés,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à l'excl. du filet, en un seul morceau</t>
  </si>
  <si>
    <t>02023050</t>
  </si>
  <si>
    <t>Découpes de quartiers avant et de poitrines australiennes de bovins, désossées, congelées</t>
  </si>
  <si>
    <t>02023090</t>
  </si>
  <si>
    <t>Viandes désossées de bovins, congelées (à l'excl. des quartiers avant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{sauf filet, en un seul morceau} ainsi que les découpes de quartiers avant et de poitrines australiennes)</t>
  </si>
  <si>
    <t>02061091</t>
  </si>
  <si>
    <t>Foies de bovins, comestibles, frais ou réfrigérés (à l'excl. de ceux destinés à la fabrication de produits pharmaceutiques)</t>
  </si>
  <si>
    <t>02061095</t>
  </si>
  <si>
    <t>Onglets et hampes de bovins, comestibles, frais ou réfrigérés (à l'excl. de ceux destinés à la fabrication de produits pharmaceutiques)</t>
  </si>
  <si>
    <t>02061098</t>
  </si>
  <si>
    <t>Abats comestibles de bovins, frais ou réfrigérés (à l'excl. de ceux destinés à la fabrication de produits pharmaceutiques ainsi que des onglets et hampes)</t>
  </si>
  <si>
    <t>02061099</t>
  </si>
  <si>
    <t>Abats comestibles de bovins, frais ou réfrigérés (à l'excl. de ceux destinés à la fabrication de produits pharmaceutiques ainsi que des foies, onglets et hampes)</t>
  </si>
  <si>
    <t>02062100</t>
  </si>
  <si>
    <t>Langues de bovins, comestibles, congelées</t>
  </si>
  <si>
    <t>02062200</t>
  </si>
  <si>
    <t>Foies de bovins, comestibles, congelés</t>
  </si>
  <si>
    <t>02062910</t>
  </si>
  <si>
    <t>Abats comestibles de bovins, congelés, destinés à la fabrication de produits pharmaceutiques (à l'excl. des langues et des foies)</t>
  </si>
  <si>
    <t>02062991</t>
  </si>
  <si>
    <t>Onglets et hampes de bovins, comestibles, congelés (à l'excl. de ceux destinés à la fabrication de produits pharmaceutiques)</t>
  </si>
  <si>
    <t>02062999</t>
  </si>
  <si>
    <t>Abats comestibles de bovins, congelés (à l'excl. de ceux destinés à la fabrication de produits pharmaceutiques ainsi que des langues, foies, onglets et hampes)</t>
  </si>
  <si>
    <t>02102010</t>
  </si>
  <si>
    <t>Viandes non désossées de bovins, salées ou en saumure, séchées ou fumées</t>
  </si>
  <si>
    <t>02102090</t>
  </si>
  <si>
    <t>Viandes désossées de bovins, salées ou en saumure, séchées ou fumées</t>
  </si>
  <si>
    <t>02109910</t>
  </si>
  <si>
    <t>Viandes de cheval, salées ou en saumure ou bien séchées</t>
  </si>
  <si>
    <t>02109921</t>
  </si>
  <si>
    <t>Viandes non désossées d'ovins et de caprins, salées ou en saumure, séchées ou fumées</t>
  </si>
  <si>
    <t>02109929</t>
  </si>
  <si>
    <t>Viandes désossées d'ovins et de caprins, salées ou en saumure, séchées ou fumées</t>
  </si>
  <si>
    <t>02109951</t>
  </si>
  <si>
    <t>Onglets et hampes de bovins, comestibles, salés ou en saumure, séchés ou fumés (à l'excl. des foies)</t>
  </si>
  <si>
    <t>02109959</t>
  </si>
  <si>
    <t>Abats comestibles de bovins, salés ou en saumure, séchés ou fumés (à l'excl. des onglets et des hampes)</t>
  </si>
  <si>
    <t>02109960</t>
  </si>
  <si>
    <t>Abats comestibles d'ovins et de caprins, salés ou en saumure, séchés ou fumés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</si>
  <si>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</si>
  <si>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</si>
  <si>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</si>
  <si>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</si>
  <si>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</si>
  <si>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</si>
  <si>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15021010</t>
  </si>
  <si>
    <t>Suif des animaux des espèces bovine, ovine ou caprine destiné à des usages industriels (à l'excl. de la fabrication de denrées alimentaires, de la stéarine solaire et de l’huile)</t>
  </si>
  <si>
    <t>15021090</t>
  </si>
  <si>
    <t>Suif des animaux des espèces bovine, ovine ou caprine (à l’excl. des graisses destinées à des usages industriels/techniques, de l'huile et de la stéarine solaire)</t>
  </si>
  <si>
    <t>15029010</t>
  </si>
  <si>
    <t>Graisses des animaux des espèces bovine, ovine ou caprine, destinées à des usages industriels (à l’excl. de celles destinées à la fabrication de produits pour l’alimentation humaine du suif, de la stéarine solaire et de l'oléomargarine)</t>
  </si>
  <si>
    <t>15029090</t>
  </si>
  <si>
    <t>Graisses des animaux des espèces bovine, ovine ou caprine (à l’excl. des graisses destinées à des usages industriels/techniques, du suif, de la stéarine solaire et de l’oléomargarine)</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</si>
  <si>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</si>
  <si>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</si>
  <si>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</si>
  <si>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</si>
  <si>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</si>
  <si>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</si>
  <si>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</si>
  <si>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</si>
  <si>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</si>
  <si>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</si>
  <si>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</si>
  <si>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</si>
  <si>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</si>
  <si>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</si>
  <si>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</si>
  <si>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</si>
  <si>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</si>
  <si>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</si>
  <si>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</si>
  <si>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</si>
  <si>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</si>
  <si>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</si>
  <si>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</si>
  <si>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</si>
  <si>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</si>
  <si>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</si>
  <si>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</si>
  <si>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</si>
  <si>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</si>
  <si>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</si>
  <si>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</si>
  <si>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</si>
  <si>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</si>
  <si>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</si>
  <si>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</si>
  <si>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</si>
  <si>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16022090</t>
  </si>
  <si>
    <t>Préparations à base de foie (à l'excl. des saucisses, saucissons et produits simil., des préparations finement homogénéisées, conditionnées pour la vente au détail comme aliments pour enfants ou pour usages diététiques, en récipients d'un contenu &lt;= 250 g ainsi que des préparations à base de foie d'oie ou de canard)</t>
  </si>
  <si>
    <t>16025010</t>
  </si>
  <si>
    <t>Préparations et conserves de viande ou d'abats des animaux de l'espèce bovine, non cuits, y.c. les mélanges de viande ou d'abats cuits et de viande ou d'abats non cuits (à l'excl. des saucisses, saucissons et produits simil. ainsi que des préparations de foies)</t>
  </si>
  <si>
    <t>16025031</t>
  </si>
  <si>
    <t>'Corned beef', en récipients hermétiquement clos</t>
  </si>
  <si>
    <t>16025039</t>
  </si>
  <si>
    <t>Préparations et conserves de viande ou d'abats d'animaux de l'espèce bovine, cuits, en récipients hermétiquement clos (à l'excl. du 'corned beef', des saucisses, saucissons et produits simil. ainsi que des préparations finement homogénéisées, conditionnées pour la vente au détail comme aliments pour enfants ou pour usages diététiques, en récipients d'un contenu &lt;= 250 g, des préparations à base de foie ainsi que des extraits et jus de viande)</t>
  </si>
  <si>
    <t>16025080</t>
  </si>
  <si>
    <t>Préparations et conserves de viande ou d'abats d'animaux de l'espèce bovine, cuits (à l'excl. des produits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</si>
  <si>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16025090</t>
  </si>
  <si>
    <t>Préparations et conserves de viande ou d'abats des animaux de l'espèce bovine, cuits (à l'excl. des saucisses, saucissons et produits similaires, des préparations homogénéisées du n° 1602 10 00, des préparations de foies ainsi que des extraits et jus de viande)</t>
  </si>
  <si>
    <t>16025095</t>
  </si>
  <si>
    <t>Préparations et conserves de viande ou d'abats d'animaux de l'espèce bovine, cuits (à l'excl. du Corned beef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</si>
  <si>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16029010</t>
  </si>
  <si>
    <t>Préparations de sang de tous animaux (à l'excl. des saucisses, saucissons et produits simil.)</t>
  </si>
  <si>
    <t>16029061</t>
  </si>
  <si>
    <t>Préparations et conserves de viande ou d'abats, non cuits, contenant de la viande ou des abats d'animaux de l'espèce bovine, y.c. les mélanges de viande ou d'abats cuits et non cuits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ainsi que des préparations à base de foie)</t>
  </si>
  <si>
    <t>16029069</t>
  </si>
  <si>
    <t>Préparations et conserves de viande ou d'abats, cuits, contenant de la viande ou des abats d'animaux de l'espèce bovine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</si>
  <si>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16029071</t>
  </si>
  <si>
    <t>Préparations et conserves de viande ou d'abats d'ovins ou de caprins, non cuits, y.c. les mélanges de viande ou d'abats cuits et de viande ou d'abats non cuits (à l'excl. des saucisses, saucissons et produits similaires ainsi que des préparations de foies)</t>
  </si>
  <si>
    <t>16029072</t>
  </si>
  <si>
    <t>Préparations et conserves de viande ou d'abats d'ovins, non-cuits, y.c. les mélanges de viande ou d'abats cuits et de viande ou d'abats non-cuits (à l'excl. des saucisses, saucissons et produits simil. ainsi que des préparations de foies)</t>
  </si>
  <si>
    <t>16029074</t>
  </si>
  <si>
    <t>Préparations et conserves de viande ou d'abats de caprins, non-cuits, y.c. les mélanges de viande ou d'abats cuits et de viande ou d'abats non-cuits (à l'excl. des saucisses, saucissons et produits simil. ainsi que des préparations de foies)</t>
  </si>
  <si>
    <t>16029076</t>
  </si>
  <si>
    <t>Préparations et conserves de viande ou d'abats d'ovins,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</si>
  <si>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16029078</t>
  </si>
  <si>
    <t>Préparations et conserves de viande ou d'abats de caprins,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</si>
  <si>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16029079</t>
  </si>
  <si>
    <t>Préparations et conserves de viande ou d'abats d'ovins ou de caprins, cuits (à l'excl. des saucisses, saucissons et produits similaires, des préparations homogénéisées du n° 1602.10.00, des préparations de foies ainsi que des extraits et jus de viande)</t>
  </si>
  <si>
    <t>16029091</t>
  </si>
  <si>
    <t>Préparations ou conserves de viande ou d'abats de viande ovine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</si>
  <si>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16029095</t>
  </si>
  <si>
    <t>Préparations ou conserves de viande ou d'abats caprins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</si>
  <si>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</si>
  <si>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</si>
  <si>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</si>
  <si>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</si>
  <si>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</si>
  <si>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</si>
  <si>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</si>
  <si>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</si>
  <si>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</si>
  <si>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</si>
  <si>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</si>
  <si>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</si>
  <si>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</si>
  <si>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</si>
  <si>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Carcasses fraiches</t>
  </si>
  <si>
    <t>Carcasses congelées (à négliger)</t>
  </si>
  <si>
    <t>Graisses (C3) agrégées avec ovins et caprins</t>
  </si>
  <si>
    <t>Saucisses agrégées avec autres espèces</t>
  </si>
  <si>
    <t>Préparations de foie agrégées avec les autres espèces</t>
  </si>
  <si>
    <t>Préparations de viande</t>
  </si>
  <si>
    <t>Autres Préparations de viande contenant des bovins</t>
  </si>
  <si>
    <t>Préparations de sang agrégées avec les autres espèces</t>
  </si>
  <si>
    <t>Echanges de graisses</t>
  </si>
  <si>
    <t>Ovins et caprins</t>
  </si>
  <si>
    <t>Hypothèse : même répartition entre bovin et ovins et caprins que la production de C3</t>
  </si>
  <si>
    <t>Part dans la production de C3</t>
  </si>
  <si>
    <t>en p/st</t>
  </si>
  <si>
    <t>Saucisses agrégé</t>
  </si>
  <si>
    <t>Saucisses de foie agrégé</t>
  </si>
  <si>
    <t>Préparations de foie agrégé</t>
  </si>
  <si>
    <t>Préparations</t>
  </si>
  <si>
    <t>Blézat</t>
  </si>
  <si>
    <t>Utilisation du rendement carcasse</t>
  </si>
  <si>
    <t>Le libellé de Prodcom est erroné, il n'y a pas de production de carcasses congelées en France (ou elle est négligeable) : il s'agit donc plutôt de morceaux congelés</t>
  </si>
  <si>
    <t>2:3:4:5:6</t>
  </si>
  <si>
    <t>4:5:6</t>
  </si>
  <si>
    <t>3:4:5:6</t>
  </si>
  <si>
    <t>6</t>
  </si>
  <si>
    <t>Viandes</t>
  </si>
  <si>
    <t>Autres produits</t>
  </si>
  <si>
    <t>Coproduits transformés</t>
  </si>
  <si>
    <t>Coproduits bruts</t>
  </si>
  <si>
    <t>Eau</t>
  </si>
  <si>
    <t>Matière première</t>
  </si>
  <si>
    <t>Produit</t>
  </si>
  <si>
    <t>Coproduit</t>
  </si>
  <si>
    <t>Export</t>
  </si>
  <si>
    <t>Eau - ressuage</t>
  </si>
  <si>
    <t>Eau - traitement thermique</t>
  </si>
  <si>
    <t>Filière</t>
  </si>
  <si>
    <t>Viande bovine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</si>
  <si>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</si>
  <si>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</si>
  <si>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</si>
  <si>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</si>
  <si>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</si>
  <si>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</si>
  <si>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</si>
  <si>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</si>
  <si>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</si>
  <si>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</si>
  <si>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</si>
  <si>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Agreste - Statistique Agricole Annuelle - SSP</t>
  </si>
  <si>
    <t>Prodcom - Eurostat</t>
  </si>
  <si>
    <t>Douanes - Eurostat</t>
  </si>
  <si>
    <t>Abattages de veaux</t>
  </si>
  <si>
    <t>Abattages de gros bovins</t>
  </si>
  <si>
    <t>Importation de veaux</t>
  </si>
  <si>
    <t>Importation de gros bovins</t>
  </si>
  <si>
    <t>Exportation de veaux</t>
  </si>
  <si>
    <t>Exportation de gros bovins</t>
  </si>
  <si>
    <t>Production de carcasses fraîches</t>
  </si>
  <si>
    <t>Production de morceaux frais</t>
  </si>
  <si>
    <t>Production de morceaux congelés</t>
  </si>
  <si>
    <t>Importation d'abats</t>
  </si>
  <si>
    <t>Importation de coproduits C3 et alimentaire</t>
  </si>
  <si>
    <t>Exportation d'abats</t>
  </si>
  <si>
    <t>Exportation de coproduits C3 et alimentaire</t>
  </si>
  <si>
    <t>Valorisation des farines animales en énergie</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</si>
  <si>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</si>
  <si>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</si>
  <si>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</si>
  <si>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</si>
  <si>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</si>
  <si>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</si>
  <si>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</si>
  <si>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</si>
  <si>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</si>
  <si>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</si>
  <si>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</si>
  <si>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</si>
  <si>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</si>
  <si>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</si>
  <si>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</si>
  <si>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</si>
  <si>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</si>
  <si>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Rendement en abats de l'abattage-découpe de veaux</t>
  </si>
  <si>
    <t>Rendement en viande de l'abattage-découpe de veaux</t>
  </si>
  <si>
    <t>Rendement en coproduits C1 de l'abattage-découpe de veaux</t>
  </si>
  <si>
    <t>Rendement en coproduits C2 de l'abattage-découpe de veaux</t>
  </si>
  <si>
    <t>Rendement en coproduits C3 et alimentaire de l'abattage-découpe de veaux</t>
  </si>
  <si>
    <t>Rendement en cuirs de l'abattage-découpe de veaux</t>
  </si>
  <si>
    <t>Pertes en eau de l'abattage-découpe de veaux</t>
  </si>
  <si>
    <t>Rendement en viande de l'abattage-découpe de gros bovins</t>
  </si>
  <si>
    <t>Rendement en abats de l'abattage-découpe de gros bovins</t>
  </si>
  <si>
    <t>Rendement en coproduits C1 de l'abattage-découpe de gros bovins</t>
  </si>
  <si>
    <t>Rendement en coproduits C2 de l'abattage-découpe de gros bovins</t>
  </si>
  <si>
    <t>Rendement en coproduits C3 et alimentaire de l'abattage-découpe de gros bovins</t>
  </si>
  <si>
    <t>Rendement en cuirs de l'abattage-découpe de gros bovins</t>
  </si>
  <si>
    <t>Pertes en eau de l'abattage-découpe de gros bovins</t>
  </si>
  <si>
    <t>Part de PAT exportées</t>
  </si>
  <si>
    <t>Part de CGA exportées</t>
  </si>
  <si>
    <t>Type de matière - viande</t>
  </si>
  <si>
    <t>Abattage / découpe</t>
  </si>
  <si>
    <t>pertes de volume carcasse par séparation ultérieure des coproduits C3 (os et graisses), par la charcuterie industrielle, la boucherie-charcuterie, les labos GMS ou encore la transformation à la ferme</t>
  </si>
  <si>
    <t>Viande (sans C3)</t>
  </si>
  <si>
    <t>veaux</t>
  </si>
  <si>
    <t>tous</t>
  </si>
  <si>
    <t>ratios de production carcasse/morceaux</t>
  </si>
  <si>
    <t>carcasses</t>
  </si>
  <si>
    <t>morceaux frais</t>
  </si>
  <si>
    <t>morceaux congelés</t>
  </si>
  <si>
    <t>Viande (avec C3 pour carcasses)</t>
  </si>
  <si>
    <t>La production de carcasses est calulée comme étant le reste, tenant compte ainsi du retrait des coproduits C3 (os + graisses) ultérieur (transformation industrielle, artisanale, GMS et fermière) et de l'ajout des carcasses vendues directement ou autoconsommées</t>
  </si>
  <si>
    <t>En conclusion :</t>
  </si>
  <si>
    <t xml:space="preserve">Perte de </t>
  </si>
  <si>
    <t>due au retrait des C3 lors des transformations ultérieures</t>
  </si>
  <si>
    <t xml:space="preserve">Gain de </t>
  </si>
  <si>
    <t>dû à l'ajout des carcasses autoconsommées, non prises en compte dans Prodcom (ça semble bien correspondre au volume autoconsommé pour 2022 : 6% x 1003 kt = 60 kt)</t>
  </si>
  <si>
    <t>Volume 2015</t>
  </si>
  <si>
    <t>Volume 2019</t>
  </si>
  <si>
    <t>Viande de gros bovins</t>
  </si>
  <si>
    <t>Abattage / découpe de veaux</t>
  </si>
  <si>
    <t>Abattage / découpe de gros bovins</t>
  </si>
  <si>
    <t>Viande de veaux</t>
  </si>
  <si>
    <t>Où va le bœuf, 2014 - Idele</t>
  </si>
  <si>
    <t>Part d'importations de viande de gros bovins, par rapport à la production (en tec, 2014)</t>
  </si>
  <si>
    <t>Débouchés pour la viande de gros bovins, par rapport à l'approvisionnement (tec, 2014)</t>
  </si>
  <si>
    <t>Boucherie</t>
  </si>
  <si>
    <t>Transformation</t>
  </si>
  <si>
    <t>Où va le bœuf, 2019 - Idele</t>
  </si>
  <si>
    <t>Plats préparés</t>
  </si>
  <si>
    <t>Part d'importations de viande de gros bovins, par rapport à la production (en tec, 2019)</t>
  </si>
  <si>
    <t>Où va le bœuf, 2022 - Idele</t>
  </si>
  <si>
    <t>Débouchés pour la viande de gros bovins, par rapport à l'approvisionnement, après export (tec, 2022)</t>
  </si>
  <si>
    <t>Part d'exportations de viande de gros bovins, par rapport à la production (en tec, 2022)</t>
  </si>
  <si>
    <t>Part d'importations de viande de gros bovins, par rapport à la production (en tec, 2022)</t>
  </si>
  <si>
    <t>Où va le veau, 2022 - Idele</t>
  </si>
  <si>
    <t>Part d'importations de viande de veaux, par rapport à la production (en tec, 2022)</t>
  </si>
  <si>
    <t>Débouchés pour la viande de veaux, par rapport à l'approvisionnement, après export (tec, 2022)</t>
  </si>
  <si>
    <t>Où va le bœuf ? - Idele</t>
  </si>
  <si>
    <t>Part de viande de gros bovins consommée en GMS</t>
  </si>
  <si>
    <t>Part de viande de gros bovins consommée en boucherie</t>
  </si>
  <si>
    <t>Part de viande de gros bovins consommée en RHD</t>
  </si>
  <si>
    <t>Part de viande de gros bovins transformée</t>
  </si>
  <si>
    <t>Part de viande de gros bovins vendue directement ou autoconsommée</t>
  </si>
  <si>
    <t>Utilisation de la répartition en tec</t>
  </si>
  <si>
    <t>Utilisation de la répartition de 2022, en tec</t>
  </si>
  <si>
    <t>Part de viande de gros bovins pour la fabrication de plats préparés</t>
  </si>
  <si>
    <t>Part de viande de veaux consommée en GMS</t>
  </si>
  <si>
    <t>Part de viande de veaux consommée en boucherie</t>
  </si>
  <si>
    <t>Part de viande de veaux consommée en RHD</t>
  </si>
  <si>
    <t>Part de viande de veaux vendue directement ou autoconsommée</t>
  </si>
  <si>
    <t>Où va le veau ? - Idele</t>
  </si>
  <si>
    <t>Débouchés de la viande de veaux en 2022</t>
  </si>
  <si>
    <t>Niveau de détail</t>
  </si>
  <si>
    <t>Espèce</t>
  </si>
  <si>
    <t>0</t>
  </si>
  <si>
    <t>Volume 2011</t>
  </si>
  <si>
    <t>Répartition 2011</t>
  </si>
  <si>
    <t>Débouchés des abats de bovins (2011, kt)</t>
  </si>
  <si>
    <t>Part d'abats consommée en Petfood</t>
  </si>
  <si>
    <t>Part d'abats consommée en GMS</t>
  </si>
  <si>
    <t>Part d'abats consommée par les autres IAA</t>
  </si>
  <si>
    <t>Part d'abats consommée en boucherie</t>
  </si>
  <si>
    <t>Part d'abats consommée en RHD</t>
  </si>
  <si>
    <t>Utilisation de la répartition de 2011</t>
  </si>
  <si>
    <t>Débouchés des abats</t>
  </si>
  <si>
    <t>Extrapolation à partir des exportations tous débouchés confondus</t>
  </si>
  <si>
    <t>Statistique comprenant également les ovins et caprins = extrapolation à partir de la production de C3 de chaque espèce</t>
  </si>
  <si>
    <t>Statistique comprenant également les autres espèces ainsi que les exportations = extrapolation à partir de la production de C3 de chaque espèce et des exportations tous débouchés confondus</t>
  </si>
  <si>
    <t>Rapport d'activité SIFCO 2018</t>
  </si>
  <si>
    <t>Utilisation du volume 2018</t>
  </si>
  <si>
    <t>Répartition finalement pas utilisée car le débouché Transformation est trop large ici et contient aussi l'opération de hachage de la viande, principalement réalisée par les abatteurs-découpeurs</t>
  </si>
  <si>
    <t>Débouchés pour la viande de gros bovins, par rapport à l'approvisionnement, après export (tec)</t>
  </si>
  <si>
    <t>Utilisation de la répartition de 2017, en tec</t>
  </si>
  <si>
    <t>Débouchés de la viande de gros bovins en 2017</t>
  </si>
  <si>
    <t>Débouchés de la viande de gros bovins en 2019</t>
  </si>
  <si>
    <t>Débouchés de la viande de gros bovins en 2022</t>
  </si>
  <si>
    <t>Import 
viande</t>
  </si>
  <si>
    <t>Export viande</t>
  </si>
  <si>
    <t>Veau</t>
  </si>
  <si>
    <t>import Viande GB</t>
  </si>
  <si>
    <t>Import GB corrigé réexport (Brexit et McDo NL)</t>
  </si>
  <si>
    <t>Export GB corrigé réexport</t>
  </si>
  <si>
    <t>Import viande NL</t>
  </si>
  <si>
    <t>export veau</t>
  </si>
  <si>
    <t>Importations</t>
  </si>
  <si>
    <t>Source : Estimations Idele, réexports retirés (initialement en ktec, converties en kt : coef 1,3)</t>
  </si>
  <si>
    <t>Importation de viande de veaux</t>
  </si>
  <si>
    <t>Importation de viande de gros bovins</t>
  </si>
  <si>
    <t>Exportation de viande de veaux</t>
  </si>
  <si>
    <t>Exportation de viande de gros bovins</t>
  </si>
  <si>
    <t>Douanes françaises</t>
  </si>
  <si>
    <t>Attribution des niveaux de fiabilité aux flux calculés par bilan matière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</si>
  <si>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</si>
  <si>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</si>
  <si>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</si>
  <si>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</si>
  <si>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</si>
  <si>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La France entière comprend la France métropolitaine et les cinq départements et régions d'outre-mer (DROM : Guyane, Martinique, Guadeloupe, Mayotte et La Réunion).</t>
  </si>
  <si>
    <t>#b5e6a2:#e49edd:#f7c7ac:#d9b28b:#cb9763:#d0d0d0</t>
  </si>
  <si>
    <t>Volume:Rendement:Répartition</t>
  </si>
  <si>
    <t>#b5e6a2:#94dcf8:#f7c7ac</t>
  </si>
  <si>
    <t>=JOINDRE.TEXTE(":";VRAI;H9:CS9)</t>
  </si>
  <si>
    <t>=TEXTE.APRES(LIRE.CLASSEUR(1);"]")</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</si>
  <si>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</si>
  <si>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</si>
  <si>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</si>
  <si>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Fiable</t>
  </si>
  <si>
    <t>Robuste</t>
  </si>
  <si>
    <t>Probable</t>
  </si>
  <si>
    <t>Approximative</t>
  </si>
  <si>
    <t>Indicative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</si>
  <si>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</si>
  <si>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</si>
  <si>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</si>
  <si>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</si>
  <si>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</si>
  <si>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</si>
  <si>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</si>
  <si>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</si>
  <si>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</si>
  <si>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</si>
  <si>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</si>
  <si>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Donnée collectée (valeur du flux ou coefficient)</t>
  </si>
  <si>
    <t>Ecart statistique (ne permet pas de respecter un bilan matière)</t>
  </si>
  <si>
    <t>Donnée déterminée (par bilan matière)</t>
  </si>
  <si>
    <t>Donnée indéterminée (seules une borne minimale et une borne maximale sont déterminées)</t>
  </si>
  <si>
    <t>Complétion des flux:Données déterminées</t>
  </si>
  <si>
    <t>Données collectées:Données déterminées</t>
  </si>
  <si>
    <t>Informations générales</t>
  </si>
  <si>
    <t>Projet :</t>
  </si>
  <si>
    <t>SOCLE</t>
  </si>
  <si>
    <t>Collaborateurs :</t>
  </si>
  <si>
    <t>Filière :</t>
  </si>
  <si>
    <t>Période étudiée :</t>
  </si>
  <si>
    <t>2015, 2019, 2023</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</si>
  <si>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</si>
  <si>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</si>
  <si>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</si>
  <si>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</si>
  <si>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</si>
  <si>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</si>
  <si>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</si>
  <si>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</si>
  <si>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</si>
  <si>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</si>
  <si>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</si>
  <si>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</si>
  <si>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Structure des flux</t>
  </si>
  <si>
    <t>Tables Emplois-Ressources</t>
  </si>
  <si>
    <t>Données</t>
  </si>
  <si>
    <t xml:space="preserve">Données </t>
  </si>
  <si>
    <t xml:space="preserve">Données  </t>
  </si>
  <si>
    <t xml:space="preserve">Données   </t>
  </si>
  <si>
    <t>Contraintes</t>
  </si>
  <si>
    <t xml:space="preserve">Données    </t>
  </si>
  <si>
    <t xml:space="preserve">Contraintes </t>
  </si>
  <si>
    <t xml:space="preserve">Contraintes  </t>
  </si>
  <si>
    <t xml:space="preserve"> Données </t>
  </si>
  <si>
    <t>Sources de données</t>
  </si>
  <si>
    <t>Abattages - AGRESTE</t>
  </si>
  <si>
    <t>Comext - AGRESTE</t>
  </si>
  <si>
    <t>Fabrication - PRODCOM</t>
  </si>
  <si>
    <t>Anatomie - Blézat</t>
  </si>
  <si>
    <t>Coproduits - SIFCO</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</si>
  <si>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</si>
  <si>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</si>
  <si>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</si>
  <si>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</si>
  <si>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</si>
  <si>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</si>
  <si>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</si>
  <si>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</si>
  <si>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</si>
  <si>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</si>
  <si>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</si>
  <si>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</si>
  <si>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</si>
  <si>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</si>
  <si>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</si>
  <si>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</si>
  <si>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</si>
  <si>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</si>
  <si>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</si>
  <si>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</si>
  <si>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</si>
  <si>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</si>
  <si>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</si>
  <si>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</si>
  <si>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</si>
  <si>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</si>
  <si>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</si>
  <si>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</si>
  <si>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</si>
  <si>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</si>
  <si>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</si>
  <si>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</si>
  <si>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</si>
  <si>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</si>
  <si>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</si>
  <si>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</si>
  <si>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</si>
  <si>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</si>
  <si>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</si>
  <si>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</si>
  <si>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</si>
  <si>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</si>
  <si>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</si>
  <si>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</si>
  <si>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</si>
  <si>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</si>
  <si>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</si>
  <si>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</si>
  <si>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</si>
  <si>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</si>
  <si>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</si>
  <si>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</si>
  <si>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</si>
  <si>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</si>
  <si>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</si>
  <si>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</si>
  <si>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</si>
  <si>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</si>
  <si>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</si>
  <si>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</si>
  <si>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</si>
  <si>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</si>
  <si>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</si>
  <si>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</si>
  <si>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</si>
  <si>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</si>
  <si>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</si>
  <si>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</si>
  <si>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</si>
  <si>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</si>
  <si>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</si>
  <si>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</si>
  <si>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</si>
  <si>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</si>
  <si>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</si>
  <si>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</si>
  <si>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</si>
  <si>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</si>
  <si>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</si>
  <si>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</si>
  <si>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</si>
  <si>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</si>
  <si>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</si>
  <si>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</si>
  <si>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</si>
  <si>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</si>
  <si>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</si>
  <si>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</si>
  <si>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</si>
  <si>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</si>
  <si>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</si>
  <si>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</si>
  <si>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</si>
  <si>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</si>
  <si>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</si>
  <si>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</si>
  <si>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</si>
  <si>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</si>
  <si>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</si>
  <si>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</si>
  <si>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</si>
  <si>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</si>
  <si>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</si>
  <si>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</si>
  <si>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</si>
  <si>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</si>
  <si>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</si>
  <si>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</si>
  <si>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</si>
  <si>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</si>
  <si>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</si>
  <si>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Analyse de Flux de Matière (AFM) de la filière française viande bovine</t>
  </si>
  <si>
    <t>TerriFlux (Alexandre Pannier, Julien Alapetite), IDELE (Caroline Monniot)</t>
  </si>
  <si>
    <t xml:space="preserve">Contraintes   </t>
  </si>
  <si>
    <t>Comext - Eurostat</t>
  </si>
  <si>
    <t>Allocation bovins</t>
  </si>
  <si>
    <t>Consommation - IDELE</t>
  </si>
  <si>
    <t>Débouchés abats - Blézat</t>
  </si>
  <si>
    <t>Comext de viande - Idele</t>
  </si>
  <si>
    <t>Où va le bœuf/veau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</si>
</sst>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
    <numFmt numFmtId="166" formatCode="#,##0.##########"/>
    <numFmt numFmtId="167" formatCode="0.000%"/>
    <numFmt numFmtId="168" formatCode="#,##0.0"/>
  </numFmts>
  <fonts count="61">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i/>
      <sz val="11"/>
      <color rgb="FFFF0000"/>
      <name val="Aptos Narrow"/>
      <family val="2"/>
      <scheme val="minor"/>
    </font>
    <font>
      <sz val="11"/>
      <color rgb="FFFF0000"/>
      <name val="Calibri"/>
      <family val="2"/>
    </font>
    <font>
      <i/>
      <sz val="11"/>
      <color rgb="FFFF0000"/>
      <name val="Calibri"/>
      <family val="2"/>
    </font>
    <font>
      <sz val="8"/>
      <name val="Calibri"/>
      <family val="2"/>
    </font>
    <font>
      <sz val="8"/>
      <color indexed="8"/>
      <name val="Arial"/>
      <family val="2"/>
    </font>
    <font>
      <sz val="11"/>
      <color rgb="FFC00000"/>
      <name val="Aptos Narrow"/>
      <family val="2"/>
      <scheme val="minor"/>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u/>
      <sz val="11"/>
      <color theme="10"/>
      <name val="Calibri"/>
      <family val="2"/>
    </font>
    <font>
      <b/>
      <sz val="18"/>
      <color theme="1"/>
      <name val="Calibri"/>
      <family val="2"/>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s>
  <fills count="41">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DC6D"/>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theme="0"/>
        <bgColor indexed="64"/>
      </patternFill>
    </fill>
    <fill>
      <patternFill patternType="solid">
        <fgColor indexed="65"/>
        <bgColor rgb="FFF9F9F9"/>
      </patternFill>
    </fill>
    <fill>
      <patternFill patternType="solid">
        <fgColor theme="0"/>
        <bgColor rgb="FFB4C7DC"/>
      </patternFill>
    </fill>
  </fills>
  <borders count="1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right/>
      <top/>
      <bottom style="medium">
        <color indexed="64"/>
      </bottom>
      <diagonal/>
    </border>
    <border>
      <left style="thin">
        <color indexed="64"/>
      </left>
      <right style="thin">
        <color indexed="64"/>
      </right>
      <top/>
      <bottom/>
      <diagonal/>
    </border>
    <border>
      <left/>
      <right/>
      <top style="thin">
        <color indexed="64"/>
      </top>
      <bottom/>
      <diagonal/>
    </border>
  </borders>
  <cellStyleXfs count="14">
    <xf numFmtId="0" fontId="0" fillId="0" borderId="0"/>
    <xf numFmtId="43" fontId="5" fillId="0" borderId="0" applyFont="0" applyFill="0" applyBorder="0" applyAlignment="0" applyProtection="0"/>
    <xf numFmtId="9" fontId="5" fillId="0" borderId="0" applyFont="0" applyFill="0" applyBorder="0" applyAlignment="0" applyProtection="0"/>
    <xf numFmtId="0" fontId="15" fillId="12" borderId="6"/>
    <xf numFmtId="0" fontId="16" fillId="0" borderId="6"/>
    <xf numFmtId="0" fontId="19" fillId="0" borderId="0"/>
    <xf numFmtId="0" fontId="2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0" fontId="42" fillId="0" borderId="0" applyNumberFormat="0" applyFill="0" applyBorder="0" applyAlignment="0" applyProtection="0"/>
    <xf numFmtId="0" fontId="46" fillId="0" borderId="0" applyNumberFormat="0" applyFill="0" applyBorder="0" applyAlignment="0" applyProtection="0"/>
  </cellStyleXfs>
  <cellXfs count="225">
    <xf numFmtId="0" fontId="0" fillId="0" borderId="0" xfId="0"/>
    <xf numFmtId="0" fontId="9" fillId="2" borderId="1" xfId="0" applyFont="1" applyFill="1" applyBorder="1" applyAlignment="1">
      <alignment horizontal="center" vertical="center" wrapText="1" shrinkToFit="1"/>
    </xf>
    <xf numFmtId="0" fontId="9"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8"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8" fillId="0" borderId="0" xfId="0" applyFont="1"/>
    <xf numFmtId="49" fontId="0" fillId="0" borderId="0" xfId="0" applyNumberFormat="1"/>
    <xf numFmtId="49" fontId="8"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10" fillId="0" borderId="4" xfId="0" applyFont="1" applyBorder="1" applyAlignment="1">
      <alignment horizontal="center" vertical="center"/>
    </xf>
    <xf numFmtId="0" fontId="11" fillId="7" borderId="4" xfId="0" applyFont="1" applyFill="1" applyBorder="1" applyAlignment="1">
      <alignment horizontal="center" textRotation="90"/>
    </xf>
    <xf numFmtId="0" fontId="0" fillId="0" borderId="0" xfId="0" applyAlignment="1">
      <alignment horizontal="center" vertical="center"/>
    </xf>
    <xf numFmtId="0" fontId="10" fillId="0" borderId="4" xfId="0" applyFont="1" applyBorder="1" applyAlignment="1">
      <alignment horizontal="center" vertical="top"/>
    </xf>
    <xf numFmtId="0" fontId="12" fillId="0" borderId="0" xfId="0" applyFont="1" applyAlignment="1">
      <alignment horizontal="center" vertical="center"/>
    </xf>
    <xf numFmtId="0" fontId="11" fillId="7" borderId="0" xfId="0" applyFont="1" applyFill="1"/>
    <xf numFmtId="0" fontId="9" fillId="8" borderId="1" xfId="0" applyFont="1" applyFill="1" applyBorder="1" applyAlignment="1">
      <alignment horizontal="center" vertical="center" wrapText="1" shrinkToFit="1"/>
    </xf>
    <xf numFmtId="0" fontId="9" fillId="8" borderId="2" xfId="0" applyFont="1" applyFill="1" applyBorder="1" applyAlignment="1">
      <alignment horizontal="center" vertical="center" wrapText="1" shrinkToFit="1"/>
    </xf>
    <xf numFmtId="0" fontId="13" fillId="9" borderId="2" xfId="0" applyFont="1" applyFill="1" applyBorder="1" applyAlignment="1">
      <alignment horizontal="center" vertical="center" wrapText="1"/>
    </xf>
    <xf numFmtId="0" fontId="9" fillId="8" borderId="3" xfId="0" applyFont="1" applyFill="1" applyBorder="1" applyAlignment="1">
      <alignment horizontal="center" vertical="center" wrapText="1" shrinkToFit="1"/>
    </xf>
    <xf numFmtId="0" fontId="14"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9" fillId="10" borderId="1" xfId="0" applyFont="1" applyFill="1" applyBorder="1" applyAlignment="1">
      <alignment horizontal="center" vertical="center" wrapText="1" shrinkToFit="1"/>
    </xf>
    <xf numFmtId="0" fontId="9" fillId="10" borderId="2" xfId="0" applyFont="1" applyFill="1" applyBorder="1" applyAlignment="1">
      <alignment horizontal="center" vertical="center" wrapText="1" shrinkToFit="1"/>
    </xf>
    <xf numFmtId="0" fontId="9"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1" borderId="0" xfId="0" applyFill="1" applyAlignment="1">
      <alignment horizontal="center"/>
    </xf>
    <xf numFmtId="0" fontId="8" fillId="11" borderId="0" xfId="0" applyFont="1" applyFill="1"/>
    <xf numFmtId="0" fontId="0" fillId="11" borderId="0" xfId="0" applyFill="1"/>
    <xf numFmtId="0" fontId="0" fillId="0" borderId="0" xfId="0" applyAlignment="1">
      <alignment horizontal="left"/>
    </xf>
    <xf numFmtId="0" fontId="8" fillId="6" borderId="0" xfId="0" applyFont="1" applyFill="1"/>
    <xf numFmtId="0" fontId="11" fillId="7" borderId="4" xfId="0" applyFont="1" applyFill="1" applyBorder="1" applyAlignment="1">
      <alignment horizontal="right" vertical="top"/>
    </xf>
    <xf numFmtId="0" fontId="15" fillId="12" borderId="6" xfId="3"/>
    <xf numFmtId="0" fontId="16" fillId="0" borderId="6" xfId="4"/>
    <xf numFmtId="0" fontId="17" fillId="13" borderId="0" xfId="0" applyFont="1" applyFill="1" applyAlignment="1">
      <alignment horizontal="center" vertical="center" wrapText="1"/>
    </xf>
    <xf numFmtId="0" fontId="17" fillId="14" borderId="7"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7" xfId="0" applyFont="1" applyFill="1" applyBorder="1" applyAlignment="1">
      <alignment horizontal="left" vertical="center"/>
    </xf>
    <xf numFmtId="0" fontId="17" fillId="15" borderId="9" xfId="0" applyFont="1" applyFill="1" applyBorder="1" applyAlignment="1">
      <alignment horizontal="center" vertical="center" wrapText="1"/>
    </xf>
    <xf numFmtId="0" fontId="20" fillId="0" borderId="0" xfId="5" applyFont="1" applyAlignment="1">
      <alignment horizontal="left" vertical="center"/>
    </xf>
    <xf numFmtId="0" fontId="19" fillId="0" borderId="0" xfId="5"/>
    <xf numFmtId="0" fontId="21" fillId="0" borderId="0" xfId="5" applyFont="1" applyAlignment="1">
      <alignment horizontal="left" vertical="center"/>
    </xf>
    <xf numFmtId="0" fontId="22" fillId="16" borderId="14" xfId="5" applyFont="1" applyFill="1" applyBorder="1" applyAlignment="1">
      <alignment horizontal="left" vertical="center"/>
    </xf>
    <xf numFmtId="0" fontId="21" fillId="17" borderId="14" xfId="5" applyFont="1" applyFill="1" applyBorder="1" applyAlignment="1">
      <alignment horizontal="left" vertical="center"/>
    </xf>
    <xf numFmtId="0" fontId="19" fillId="18" borderId="0" xfId="5" applyFill="1"/>
    <xf numFmtId="0" fontId="21" fillId="19" borderId="14" xfId="5" applyFont="1" applyFill="1" applyBorder="1" applyAlignment="1">
      <alignment horizontal="left" vertical="center"/>
    </xf>
    <xf numFmtId="3" fontId="20" fillId="0" borderId="0" xfId="5" applyNumberFormat="1" applyFont="1" applyAlignment="1">
      <alignment horizontal="right" vertical="center" shrinkToFit="1"/>
    </xf>
    <xf numFmtId="3" fontId="20" fillId="20" borderId="0" xfId="5" applyNumberFormat="1" applyFont="1" applyFill="1" applyAlignment="1">
      <alignment horizontal="right" vertical="center" shrinkToFit="1"/>
    </xf>
    <xf numFmtId="0" fontId="7" fillId="0" borderId="0" xfId="7" applyFont="1"/>
    <xf numFmtId="0" fontId="4" fillId="0" borderId="0" xfId="7"/>
    <xf numFmtId="0" fontId="24" fillId="0" borderId="0" xfId="7" applyFont="1"/>
    <xf numFmtId="9" fontId="0" fillId="0" borderId="0" xfId="8" applyFont="1"/>
    <xf numFmtId="164" fontId="0" fillId="0" borderId="0" xfId="9" applyNumberFormat="1" applyFont="1"/>
    <xf numFmtId="0" fontId="4" fillId="0" borderId="0" xfId="7" applyAlignment="1">
      <alignment horizontal="right"/>
    </xf>
    <xf numFmtId="9" fontId="4" fillId="0" borderId="0" xfId="7" applyNumberFormat="1"/>
    <xf numFmtId="1" fontId="4" fillId="0" borderId="0" xfId="7" applyNumberFormat="1"/>
    <xf numFmtId="165" fontId="4" fillId="0" borderId="0" xfId="7" applyNumberFormat="1"/>
    <xf numFmtId="164" fontId="4" fillId="0" borderId="0" xfId="7" applyNumberFormat="1"/>
    <xf numFmtId="164" fontId="0" fillId="0" borderId="0" xfId="1" applyNumberFormat="1" applyFont="1"/>
    <xf numFmtId="164" fontId="18" fillId="13" borderId="7" xfId="1" applyNumberFormat="1" applyFont="1" applyFill="1" applyBorder="1" applyAlignment="1">
      <alignment horizontal="right" vertical="center"/>
    </xf>
    <xf numFmtId="164" fontId="18" fillId="13" borderId="10" xfId="1" applyNumberFormat="1" applyFont="1" applyFill="1" applyBorder="1" applyAlignment="1">
      <alignment horizontal="right" vertical="center"/>
    </xf>
    <xf numFmtId="164" fontId="0" fillId="0" borderId="0" xfId="0" applyNumberFormat="1"/>
    <xf numFmtId="3" fontId="19" fillId="0" borderId="0" xfId="5" applyNumberFormat="1"/>
    <xf numFmtId="164" fontId="0" fillId="0" borderId="0" xfId="0" applyNumberFormat="1" applyAlignment="1">
      <alignment horizontal="center"/>
    </xf>
    <xf numFmtId="1" fontId="24" fillId="0" borderId="0" xfId="7" applyNumberFormat="1" applyFont="1"/>
    <xf numFmtId="9" fontId="27" fillId="0" borderId="0" xfId="8" applyFont="1"/>
    <xf numFmtId="164" fontId="27" fillId="0" borderId="0" xfId="9" applyNumberFormat="1" applyFont="1"/>
    <xf numFmtId="3" fontId="28" fillId="0" borderId="0" xfId="5" applyNumberFormat="1" applyFont="1" applyAlignment="1">
      <alignment horizontal="right" vertical="center" shrinkToFit="1"/>
    </xf>
    <xf numFmtId="3" fontId="28" fillId="20" borderId="0" xfId="5" applyNumberFormat="1" applyFont="1" applyFill="1" applyAlignment="1">
      <alignment horizontal="right" vertical="center" shrinkToFit="1"/>
    </xf>
    <xf numFmtId="164" fontId="28" fillId="13" borderId="7" xfId="1" applyNumberFormat="1" applyFont="1" applyFill="1" applyBorder="1" applyAlignment="1">
      <alignment horizontal="right" vertical="center"/>
    </xf>
    <xf numFmtId="0" fontId="29" fillId="0" borderId="6" xfId="4" applyFont="1"/>
    <xf numFmtId="9" fontId="30" fillId="0" borderId="0" xfId="8" applyFont="1"/>
    <xf numFmtId="9" fontId="31" fillId="0" borderId="0" xfId="8" applyFont="1"/>
    <xf numFmtId="9" fontId="32" fillId="0" borderId="0" xfId="8" applyFont="1"/>
    <xf numFmtId="0" fontId="6" fillId="0" borderId="0" xfId="7" applyFont="1"/>
    <xf numFmtId="0" fontId="20" fillId="0" borderId="0" xfId="0" applyFont="1" applyAlignment="1">
      <alignment horizontal="left" vertical="center"/>
    </xf>
    <xf numFmtId="0" fontId="21" fillId="0" borderId="0" xfId="0" applyFont="1" applyAlignment="1">
      <alignment horizontal="left" vertical="center"/>
    </xf>
    <xf numFmtId="0" fontId="22" fillId="16" borderId="14" xfId="0" applyFont="1" applyFill="1" applyBorder="1" applyAlignment="1">
      <alignment horizontal="left" vertical="center"/>
    </xf>
    <xf numFmtId="0" fontId="21" fillId="17" borderId="14" xfId="0" applyFont="1" applyFill="1" applyBorder="1" applyAlignment="1">
      <alignment horizontal="left" vertical="center"/>
    </xf>
    <xf numFmtId="0" fontId="0" fillId="18" borderId="0" xfId="0" applyFill="1"/>
    <xf numFmtId="0" fontId="21" fillId="19" borderId="14" xfId="0" applyFont="1" applyFill="1" applyBorder="1" applyAlignment="1">
      <alignment horizontal="left" vertical="center"/>
    </xf>
    <xf numFmtId="3" fontId="20" fillId="0" borderId="0" xfId="0" applyNumberFormat="1" applyFont="1" applyAlignment="1">
      <alignment horizontal="right" vertical="center" shrinkToFit="1"/>
    </xf>
    <xf numFmtId="3" fontId="20" fillId="20" borderId="0" xfId="0" applyNumberFormat="1" applyFont="1" applyFill="1" applyAlignment="1">
      <alignment horizontal="right" vertical="center" shrinkToFit="1"/>
    </xf>
    <xf numFmtId="3" fontId="28" fillId="20" borderId="0" xfId="0" applyNumberFormat="1" applyFont="1" applyFill="1" applyAlignment="1">
      <alignment horizontal="right" vertical="center" shrinkToFit="1"/>
    </xf>
    <xf numFmtId="4" fontId="20" fillId="0" borderId="0" xfId="5" applyNumberFormat="1" applyFont="1" applyAlignment="1">
      <alignment horizontal="right" vertical="center" shrinkToFit="1"/>
    </xf>
    <xf numFmtId="166" fontId="20" fillId="0" borderId="0" xfId="5" applyNumberFormat="1" applyFont="1" applyAlignment="1">
      <alignment horizontal="right" vertical="center" shrinkToFit="1"/>
    </xf>
    <xf numFmtId="166" fontId="20" fillId="20" borderId="0" xfId="5" applyNumberFormat="1" applyFont="1" applyFill="1" applyAlignment="1">
      <alignment horizontal="right" vertical="center" shrinkToFit="1"/>
    </xf>
    <xf numFmtId="4" fontId="20" fillId="20" borderId="0" xfId="5" applyNumberFormat="1" applyFont="1" applyFill="1" applyAlignment="1">
      <alignment horizontal="right" vertical="center" shrinkToFit="1"/>
    </xf>
    <xf numFmtId="166" fontId="28" fillId="20" borderId="0" xfId="5" applyNumberFormat="1" applyFont="1" applyFill="1" applyAlignment="1">
      <alignment horizontal="right" vertical="center" shrinkToFit="1"/>
    </xf>
    <xf numFmtId="166" fontId="28" fillId="0" borderId="0" xfId="5" applyNumberFormat="1" applyFont="1" applyAlignment="1">
      <alignment horizontal="right" vertical="center" shrinkToFit="1"/>
    </xf>
    <xf numFmtId="0" fontId="19" fillId="0" borderId="0" xfId="5" applyAlignment="1">
      <alignment horizontal="center" vertical="center" wrapText="1"/>
    </xf>
    <xf numFmtId="4" fontId="28" fillId="0" borderId="0" xfId="5" applyNumberFormat="1" applyFont="1" applyAlignment="1">
      <alignment horizontal="right" vertical="center" shrinkToFit="1"/>
    </xf>
    <xf numFmtId="0" fontId="12" fillId="0" borderId="0" xfId="0" applyFont="1"/>
    <xf numFmtId="9" fontId="0" fillId="0" borderId="0" xfId="2" applyFont="1"/>
    <xf numFmtId="0" fontId="8" fillId="11" borderId="0" xfId="0" applyFont="1" applyFill="1" applyAlignment="1">
      <alignment horizontal="center"/>
    </xf>
    <xf numFmtId="49" fontId="0" fillId="11" borderId="0" xfId="0" applyNumberFormat="1"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14" fillId="0" borderId="0" xfId="0" applyFont="1" applyAlignment="1">
      <alignment horizontal="left" vertical="center"/>
    </xf>
    <xf numFmtId="2" fontId="19" fillId="0" borderId="0" xfId="5" applyNumberFormat="1" applyAlignment="1">
      <alignment horizontal="left"/>
    </xf>
    <xf numFmtId="9" fontId="31" fillId="0" borderId="0" xfId="2" applyFont="1"/>
    <xf numFmtId="9" fontId="6" fillId="0" borderId="0" xfId="7" applyNumberFormat="1" applyFont="1"/>
    <xf numFmtId="0" fontId="3" fillId="0" borderId="0" xfId="7" applyFont="1"/>
    <xf numFmtId="0" fontId="24" fillId="0" borderId="0" xfId="7" applyFont="1" applyAlignment="1">
      <alignment horizontal="center"/>
    </xf>
    <xf numFmtId="164" fontId="4" fillId="0" borderId="0" xfId="1" applyNumberFormat="1" applyFont="1"/>
    <xf numFmtId="164" fontId="6" fillId="0" borderId="0" xfId="1" applyNumberFormat="1" applyFont="1"/>
    <xf numFmtId="0" fontId="0" fillId="0" borderId="4" xfId="0" applyBorder="1"/>
    <xf numFmtId="167" fontId="0" fillId="0" borderId="0" xfId="0" applyNumberFormat="1"/>
    <xf numFmtId="9" fontId="31" fillId="0" borderId="0" xfId="0" applyNumberFormat="1" applyFont="1"/>
    <xf numFmtId="9" fontId="14" fillId="0" borderId="0" xfId="2" applyFont="1"/>
    <xf numFmtId="0" fontId="27" fillId="0" borderId="0" xfId="0" applyFont="1"/>
    <xf numFmtId="0" fontId="9" fillId="8" borderId="1" xfId="5" applyFont="1" applyFill="1" applyBorder="1" applyAlignment="1">
      <alignment horizontal="center" vertical="center" wrapText="1" shrinkToFit="1"/>
    </xf>
    <xf numFmtId="0" fontId="9" fillId="8" borderId="2" xfId="5" applyFont="1" applyFill="1" applyBorder="1" applyAlignment="1">
      <alignment horizontal="center" vertical="center" wrapText="1" shrinkToFit="1"/>
    </xf>
    <xf numFmtId="0" fontId="2" fillId="0" borderId="0" xfId="7" applyFont="1"/>
    <xf numFmtId="9" fontId="14" fillId="0" borderId="0" xfId="0" applyNumberFormat="1" applyFont="1"/>
    <xf numFmtId="0" fontId="2" fillId="0" borderId="0" xfId="10"/>
    <xf numFmtId="0" fontId="7" fillId="0" borderId="0" xfId="10" applyFont="1" applyAlignment="1">
      <alignment wrapText="1"/>
    </xf>
    <xf numFmtId="0" fontId="7" fillId="0" borderId="0" xfId="10" applyFont="1"/>
    <xf numFmtId="0" fontId="7" fillId="27" borderId="0" xfId="10" applyFont="1" applyFill="1"/>
    <xf numFmtId="0" fontId="7" fillId="5" borderId="0" xfId="10" applyFont="1" applyFill="1"/>
    <xf numFmtId="1" fontId="2" fillId="0" borderId="0" xfId="10" applyNumberFormat="1"/>
    <xf numFmtId="168" fontId="34" fillId="0" borderId="16" xfId="10" applyNumberFormat="1" applyFont="1" applyBorder="1" applyProtection="1">
      <protection locked="0"/>
    </xf>
    <xf numFmtId="165" fontId="2" fillId="0" borderId="0" xfId="10" applyNumberFormat="1"/>
    <xf numFmtId="1" fontId="2" fillId="0" borderId="0" xfId="10" applyNumberFormat="1" applyAlignment="1">
      <alignment vertical="center" wrapText="1"/>
    </xf>
    <xf numFmtId="3" fontId="2" fillId="0" borderId="0" xfId="10" applyNumberFormat="1" applyAlignment="1">
      <alignment vertical="center" wrapText="1"/>
    </xf>
    <xf numFmtId="0" fontId="2" fillId="0" borderId="0" xfId="10" applyAlignment="1">
      <alignment vertical="center" wrapText="1"/>
    </xf>
    <xf numFmtId="1" fontId="6" fillId="0" borderId="0" xfId="10" applyNumberFormat="1" applyFont="1" applyAlignment="1">
      <alignment vertical="center" wrapText="1"/>
    </xf>
    <xf numFmtId="0" fontId="6" fillId="0" borderId="0" xfId="10" applyFont="1" applyAlignment="1">
      <alignment vertical="center" wrapText="1"/>
    </xf>
    <xf numFmtId="1" fontId="6" fillId="0" borderId="0" xfId="10" applyNumberFormat="1" applyFont="1"/>
    <xf numFmtId="0" fontId="6" fillId="0" borderId="0" xfId="10" applyFont="1"/>
    <xf numFmtId="168" fontId="34" fillId="0" borderId="0" xfId="10" applyNumberFormat="1" applyFont="1" applyProtection="1">
      <protection locked="0"/>
    </xf>
    <xf numFmtId="168" fontId="35" fillId="0" borderId="0" xfId="10" applyNumberFormat="1" applyFont="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8" fillId="11" borderId="0" xfId="0" applyFont="1" applyFill="1" applyAlignment="1">
      <alignment horizontal="left"/>
    </xf>
    <xf numFmtId="0" fontId="0" fillId="0" borderId="0" xfId="0" quotePrefix="1"/>
    <xf numFmtId="0" fontId="19" fillId="0" borderId="16" xfId="5" applyBorder="1"/>
    <xf numFmtId="0" fontId="0" fillId="34" borderId="0" xfId="0" applyFill="1"/>
    <xf numFmtId="0" fontId="0" fillId="35" borderId="0" xfId="0" applyFill="1"/>
    <xf numFmtId="0" fontId="0" fillId="36" borderId="0" xfId="0" applyFill="1"/>
    <xf numFmtId="0" fontId="0" fillId="37" borderId="0" xfId="0" applyFill="1"/>
    <xf numFmtId="0" fontId="36" fillId="38" borderId="0" xfId="11" applyFont="1" applyFill="1" applyAlignment="1">
      <alignment horizontal="left"/>
    </xf>
    <xf numFmtId="0" fontId="37" fillId="38" borderId="0" xfId="11" applyFont="1" applyFill="1" applyAlignment="1">
      <alignment horizontal="left"/>
    </xf>
    <xf numFmtId="0" fontId="38" fillId="39" borderId="0" xfId="11" applyFont="1" applyFill="1"/>
    <xf numFmtId="0" fontId="1" fillId="39" borderId="0" xfId="11" applyFill="1"/>
    <xf numFmtId="0" fontId="39" fillId="39" borderId="0" xfId="11" applyFont="1" applyFill="1"/>
    <xf numFmtId="0" fontId="1" fillId="0" borderId="0" xfId="11"/>
    <xf numFmtId="0" fontId="40" fillId="39" borderId="0" xfId="11" applyFont="1" applyFill="1"/>
    <xf numFmtId="0" fontId="41" fillId="39" borderId="0" xfId="11" applyFont="1" applyFill="1"/>
    <xf numFmtId="0" fontId="27" fillId="39" borderId="0" xfId="11" applyFont="1" applyFill="1"/>
    <xf numFmtId="0" fontId="27" fillId="39" borderId="0" xfId="11" quotePrefix="1" applyFont="1" applyFill="1"/>
    <xf numFmtId="14" fontId="27" fillId="39" borderId="0" xfId="11" applyNumberFormat="1" applyFont="1" applyFill="1" applyAlignment="1">
      <alignment horizontal="left"/>
    </xf>
    <xf numFmtId="14" fontId="1" fillId="0" borderId="0" xfId="11" applyNumberFormat="1"/>
    <xf numFmtId="0" fontId="43" fillId="0" borderId="0" xfId="11" applyFont="1" applyAlignment="1">
      <alignment horizontal="center"/>
    </xf>
    <xf numFmtId="0" fontId="24" fillId="0" borderId="0" xfId="11" applyFont="1"/>
    <xf numFmtId="0" fontId="44" fillId="0" borderId="0" xfId="11" applyFont="1"/>
    <xf numFmtId="0" fontId="45" fillId="0" borderId="0" xfId="11" applyFont="1"/>
    <xf numFmtId="0" fontId="46" fillId="0" borderId="0" xfId="13"/>
    <xf numFmtId="0" fontId="47" fillId="0" borderId="0" xfId="13" applyFont="1"/>
    <xf numFmtId="0" fontId="8" fillId="0" borderId="0" xfId="11" applyFont="1"/>
    <xf numFmtId="0" fontId="42" fillId="0" borderId="0" xfId="12" quotePrefix="1"/>
    <xf numFmtId="0" fontId="36" fillId="40" borderId="0" xfId="11" applyFont="1" applyFill="1" applyAlignment="1">
      <alignment horizontal="left"/>
    </xf>
    <xf numFmtId="0" fontId="37" fillId="40" borderId="0" xfId="11" applyFont="1" applyFill="1" applyAlignment="1">
      <alignment horizontal="left"/>
    </xf>
    <xf numFmtId="0" fontId="12" fillId="39" borderId="0" xfId="11" applyFont="1" applyFill="1"/>
    <xf numFmtId="0" fontId="8" fillId="39" borderId="0" xfId="11" applyFont="1" applyFill="1"/>
    <xf numFmtId="0" fontId="48" fillId="39" borderId="0" xfId="11" applyFont="1" applyFill="1"/>
    <xf numFmtId="0" fontId="48" fillId="39" borderId="0" xfId="11" applyFont="1" applyFill="1" applyAlignment="1">
      <alignment wrapText="1"/>
    </xf>
    <xf numFmtId="0" fontId="48" fillId="39" borderId="0" xfId="11" applyFont="1" applyFill="1" applyAlignment="1">
      <alignment horizontal="left" wrapText="1"/>
    </xf>
    <xf numFmtId="0" fontId="49" fillId="39" borderId="0" xfId="11" applyFont="1" applyFill="1" applyAlignment="1">
      <alignment horizontal="left"/>
    </xf>
    <xf numFmtId="0" fontId="46" fillId="39" borderId="0" xfId="13" applyFill="1" applyAlignment="1">
      <alignment horizontal="left"/>
    </xf>
    <xf numFmtId="0" fontId="8" fillId="39" borderId="0" xfId="11" applyFont="1" applyFill="1" applyAlignment="1">
      <alignment horizontal="left"/>
    </xf>
    <xf numFmtId="0" fontId="50" fillId="39" borderId="0" xfId="11" applyFont="1" applyFill="1"/>
    <xf numFmtId="0" fontId="51" fillId="39" borderId="0" xfId="11" applyFont="1" applyFill="1"/>
    <xf numFmtId="0" fontId="46" fillId="39" borderId="0" xfId="13" applyFill="1"/>
    <xf numFmtId="0" fontId="52" fillId="39" borderId="0" xfId="11" applyFont="1" applyFill="1"/>
    <xf numFmtId="0" fontId="14" fillId="39" borderId="0" xfId="11" applyFont="1" applyFill="1"/>
    <xf numFmtId="0" fontId="10" fillId="39" borderId="0" xfId="11" applyFont="1" applyFill="1"/>
    <xf numFmtId="0" fontId="53" fillId="39" borderId="0" xfId="11" applyFont="1" applyFill="1"/>
    <xf numFmtId="0" fontId="54" fillId="39" borderId="0" xfId="11" applyFont="1" applyFill="1"/>
    <xf numFmtId="0" fontId="55" fillId="39" borderId="0" xfId="11" applyFont="1" applyFill="1"/>
    <xf numFmtId="0" fontId="56" fillId="39" borderId="0" xfId="11" applyFont="1" applyFill="1"/>
    <xf numFmtId="0" fontId="57" fillId="39" borderId="0" xfId="11" applyFont="1" applyFill="1"/>
    <xf numFmtId="0" fontId="58" fillId="0" borderId="0" xfId="11" applyFont="1"/>
    <xf numFmtId="0" fontId="1" fillId="39" borderId="17" xfId="11" applyFill="1" applyBorder="1"/>
    <xf numFmtId="0" fontId="1" fillId="0" borderId="17" xfId="11" applyBorder="1"/>
    <xf numFmtId="0" fontId="59" fillId="39" borderId="0" xfId="11" applyFont="1" applyFill="1"/>
    <xf numFmtId="0" fontId="8" fillId="39" borderId="0" xfId="11" quotePrefix="1" applyFont="1" applyFill="1"/>
    <xf numFmtId="0" fontId="60" fillId="39" borderId="0" xfId="11" applyFont="1" applyFill="1"/>
    <xf numFmtId="0" fontId="0" fillId="0" borderId="0" xfId="0" applyAlignment="1">
      <alignment horizontal="center" vertical="center" wrapText="1"/>
    </xf>
    <xf numFmtId="0" fontId="17" fillId="15" borderId="7" xfId="0" applyFont="1" applyFill="1" applyBorder="1" applyAlignment="1">
      <alignment horizontal="left" vertical="center"/>
    </xf>
    <xf numFmtId="0" fontId="17" fillId="15" borderId="12" xfId="0" applyFont="1" applyFill="1" applyBorder="1" applyAlignment="1">
      <alignment horizontal="left" vertical="center"/>
    </xf>
    <xf numFmtId="0" fontId="17" fillId="15" borderId="11" xfId="0" applyFont="1" applyFill="1" applyBorder="1" applyAlignment="1">
      <alignment horizontal="center" vertical="center" wrapText="1"/>
    </xf>
    <xf numFmtId="0" fontId="17" fillId="15" borderId="8" xfId="0" applyFont="1" applyFill="1" applyBorder="1" applyAlignment="1">
      <alignment horizontal="left" vertical="center"/>
    </xf>
    <xf numFmtId="0" fontId="17" fillId="15" borderId="10" xfId="0" applyFont="1" applyFill="1" applyBorder="1" applyAlignment="1">
      <alignment horizontal="left" vertical="center"/>
    </xf>
    <xf numFmtId="0" fontId="17" fillId="15" borderId="11" xfId="0" applyFont="1" applyFill="1" applyBorder="1" applyAlignment="1">
      <alignment horizontal="left" vertical="center"/>
    </xf>
    <xf numFmtId="0" fontId="17" fillId="15" borderId="13" xfId="0" applyFont="1" applyFill="1" applyBorder="1" applyAlignment="1">
      <alignment horizontal="left" vertical="center"/>
    </xf>
    <xf numFmtId="0" fontId="0" fillId="0" borderId="0" xfId="0" applyAlignment="1">
      <alignment horizontal="center" vertical="center"/>
    </xf>
    <xf numFmtId="0" fontId="22" fillId="16" borderId="14" xfId="0" applyFont="1" applyFill="1" applyBorder="1" applyAlignment="1">
      <alignment horizontal="right" vertical="center"/>
    </xf>
    <xf numFmtId="0" fontId="19" fillId="0" borderId="0" xfId="5" applyAlignment="1">
      <alignment horizontal="center" vertical="center" wrapText="1"/>
    </xf>
    <xf numFmtId="0" fontId="22" fillId="16" borderId="14" xfId="5" applyFont="1" applyFill="1" applyBorder="1" applyAlignment="1">
      <alignment horizontal="right" vertical="center"/>
    </xf>
    <xf numFmtId="0" fontId="22" fillId="16" borderId="14" xfId="5" applyFont="1" applyFill="1" applyBorder="1" applyAlignment="1">
      <alignment horizontal="center" vertical="center"/>
    </xf>
    <xf numFmtId="0" fontId="19" fillId="0" borderId="0" xfId="5" applyAlignment="1">
      <alignment horizontal="center" wrapText="1"/>
    </xf>
    <xf numFmtId="0" fontId="19" fillId="0" borderId="0" xfId="5" applyAlignment="1">
      <alignment horizontal="center" vertical="top" wrapText="1"/>
    </xf>
    <xf numFmtId="0" fontId="0" fillId="0" borderId="5" xfId="0" applyBorder="1" applyAlignment="1">
      <alignment horizontal="center" vertical="center" wrapText="1"/>
    </xf>
    <xf numFmtId="0" fontId="4" fillId="0" borderId="0" xfId="7" applyAlignment="1">
      <alignment horizontal="left"/>
    </xf>
    <xf numFmtId="0" fontId="4" fillId="0" borderId="0" xfId="7" applyAlignment="1">
      <alignment horizontal="center"/>
    </xf>
    <xf numFmtId="0" fontId="0" fillId="0" borderId="15" xfId="0" applyBorder="1" applyAlignment="1">
      <alignment horizontal="center" vertical="center" wrapText="1"/>
    </xf>
    <xf numFmtId="0" fontId="2" fillId="0" borderId="0" xfId="10" applyAlignment="1">
      <alignment horizontal="center" vertical="center" wrapText="1"/>
    </xf>
  </cellXfs>
  <cellStyles count="14">
    <cellStyle name="Body" xfId="4" xr:uid="{CB93DAF9-86B4-4098-8926-EA86FAC1267C}"/>
    <cellStyle name="Header" xfId="3" xr:uid="{5BD36B50-DC78-42D0-9665-C2E3423130E7}"/>
    <cellStyle name="Lien hypertexte" xfId="12" builtinId="8"/>
    <cellStyle name="Lien hypertexte 2" xfId="13" xr:uid="{724698DD-20A0-4236-B433-220E1FFE537D}"/>
    <cellStyle name="Milliers" xfId="1" builtinId="3"/>
    <cellStyle name="Milliers 2" xfId="9" xr:uid="{EAAB2195-18F1-4D8F-BC3C-98D52ED35CBC}"/>
    <cellStyle name="Normal" xfId="0" builtinId="0"/>
    <cellStyle name="Normal 2" xfId="5" xr:uid="{9CAB1214-16AA-4D2B-9117-9ACCA20FDD77}"/>
    <cellStyle name="Normal 2 2" xfId="6" xr:uid="{FF3900C9-3A53-4816-B323-341D72FC906B}"/>
    <cellStyle name="Normal 3" xfId="7" xr:uid="{D2FD3B89-E791-4B03-95F2-084AAD938C8E}"/>
    <cellStyle name="Normal 4" xfId="10" xr:uid="{60D20AD7-2066-43B9-B6E3-5B922AB7D00B}"/>
    <cellStyle name="Normal 8 3" xfId="11" xr:uid="{F9EF108F-5944-4A22-9A9E-8E243C822116}"/>
    <cellStyle name="Pourcentage" xfId="2" builtinId="5"/>
    <cellStyle name="Pourcentage 2" xfId="8" xr:uid="{11929990-FF89-4570-8196-3D9A680BE7AB}"/>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594359</xdr:colOff>
      <xdr:row>28</xdr:row>
      <xdr:rowOff>168062</xdr:rowOff>
    </xdr:to>
    <xdr:pic>
      <xdr:nvPicPr>
        <xdr:cNvPr id="2" name="Image 1">
          <a:extLst>
            <a:ext uri="{FF2B5EF4-FFF2-40B4-BE49-F238E27FC236}">
              <a16:creationId xmlns:a16="http://schemas.microsoft.com/office/drawing/2014/main" id="{E3F891A0-4194-416B-AF15-7E544C271293}"/>
            </a:ext>
          </a:extLst>
        </xdr:cNvPr>
        <xdr:cNvPicPr>
          <a:picLocks noChangeAspect="1"/>
        </xdr:cNvPicPr>
      </xdr:nvPicPr>
      <xdr:blipFill>
        <a:blip xmlns:r="http://schemas.openxmlformats.org/officeDocument/2006/relationships" r:embed="rId1"/>
        <a:stretch>
          <a:fillRect/>
        </a:stretch>
      </xdr:blipFill>
      <xdr:spPr>
        <a:xfrm>
          <a:off x="9460229" y="2916556"/>
          <a:ext cx="3086100" cy="2314996"/>
        </a:xfrm>
        <a:prstGeom prst="rect">
          <a:avLst/>
        </a:prstGeom>
      </xdr:spPr>
    </xdr:pic>
    <xdr:clientData/>
  </xdr:twoCellAnchor>
  <xdr:twoCellAnchor editAs="oneCell">
    <xdr:from>
      <xdr:col>11</xdr:col>
      <xdr:colOff>752475</xdr:colOff>
      <xdr:row>4</xdr:row>
      <xdr:rowOff>19051</xdr:rowOff>
    </xdr:from>
    <xdr:to>
      <xdr:col>15</xdr:col>
      <xdr:colOff>440055</xdr:colOff>
      <xdr:row>16</xdr:row>
      <xdr:rowOff>18119</xdr:rowOff>
    </xdr:to>
    <xdr:pic>
      <xdr:nvPicPr>
        <xdr:cNvPr id="3" name="Image 2">
          <a:extLst>
            <a:ext uri="{FF2B5EF4-FFF2-40B4-BE49-F238E27FC236}">
              <a16:creationId xmlns:a16="http://schemas.microsoft.com/office/drawing/2014/main" id="{E1138223-49DC-4B01-A103-8C4C54F2BBB3}"/>
            </a:ext>
          </a:extLst>
        </xdr:cNvPr>
        <xdr:cNvPicPr>
          <a:picLocks noChangeAspect="1"/>
        </xdr:cNvPicPr>
      </xdr:nvPicPr>
      <xdr:blipFill>
        <a:blip xmlns:r="http://schemas.openxmlformats.org/officeDocument/2006/relationships" r:embed="rId2"/>
        <a:stretch>
          <a:fillRect/>
        </a:stretch>
      </xdr:blipFill>
      <xdr:spPr>
        <a:xfrm>
          <a:off x="7922895" y="750571"/>
          <a:ext cx="2855595" cy="2178388"/>
        </a:xfrm>
        <a:prstGeom prst="rect">
          <a:avLst/>
        </a:prstGeom>
      </xdr:spPr>
    </xdr:pic>
    <xdr:clientData/>
  </xdr:twoCellAnchor>
  <xdr:twoCellAnchor editAs="oneCell">
    <xdr:from>
      <xdr:col>11</xdr:col>
      <xdr:colOff>676274</xdr:colOff>
      <xdr:row>29</xdr:row>
      <xdr:rowOff>21541</xdr:rowOff>
    </xdr:from>
    <xdr:to>
      <xdr:col>15</xdr:col>
      <xdr:colOff>472440</xdr:colOff>
      <xdr:row>41</xdr:row>
      <xdr:rowOff>76126</xdr:rowOff>
    </xdr:to>
    <xdr:pic>
      <xdr:nvPicPr>
        <xdr:cNvPr id="4" name="Image 3">
          <a:extLst>
            <a:ext uri="{FF2B5EF4-FFF2-40B4-BE49-F238E27FC236}">
              <a16:creationId xmlns:a16="http://schemas.microsoft.com/office/drawing/2014/main" id="{44AFA8CE-1738-4941-8796-18485D979BD8}"/>
            </a:ext>
          </a:extLst>
        </xdr:cNvPr>
        <xdr:cNvPicPr>
          <a:picLocks noChangeAspect="1"/>
        </xdr:cNvPicPr>
      </xdr:nvPicPr>
      <xdr:blipFill>
        <a:blip xmlns:r="http://schemas.openxmlformats.org/officeDocument/2006/relationships" r:embed="rId3"/>
        <a:stretch>
          <a:fillRect/>
        </a:stretch>
      </xdr:blipFill>
      <xdr:spPr>
        <a:xfrm>
          <a:off x="7846694" y="5507941"/>
          <a:ext cx="2952751" cy="2230096"/>
        </a:xfrm>
        <a:prstGeom prst="rect">
          <a:avLst/>
        </a:prstGeom>
      </xdr:spPr>
    </xdr:pic>
    <xdr:clientData/>
  </xdr:twoCellAnchor>
  <xdr:twoCellAnchor editAs="oneCell">
    <xdr:from>
      <xdr:col>8</xdr:col>
      <xdr:colOff>74295</xdr:colOff>
      <xdr:row>41</xdr:row>
      <xdr:rowOff>106680</xdr:rowOff>
    </xdr:from>
    <xdr:to>
      <xdr:col>11</xdr:col>
      <xdr:colOff>708659</xdr:colOff>
      <xdr:row>54</xdr:row>
      <xdr:rowOff>17986</xdr:rowOff>
    </xdr:to>
    <xdr:pic>
      <xdr:nvPicPr>
        <xdr:cNvPr id="5" name="Image 4">
          <a:extLst>
            <a:ext uri="{FF2B5EF4-FFF2-40B4-BE49-F238E27FC236}">
              <a16:creationId xmlns:a16="http://schemas.microsoft.com/office/drawing/2014/main" id="{4F5489BD-38D4-4E0F-B49C-16BE686ABBB2}"/>
            </a:ext>
          </a:extLst>
        </xdr:cNvPr>
        <xdr:cNvPicPr>
          <a:picLocks noChangeAspect="1"/>
        </xdr:cNvPicPr>
      </xdr:nvPicPr>
      <xdr:blipFill>
        <a:blip xmlns:r="http://schemas.openxmlformats.org/officeDocument/2006/relationships" r:embed="rId4"/>
        <a:stretch>
          <a:fillRect/>
        </a:stretch>
      </xdr:blipFill>
      <xdr:spPr>
        <a:xfrm>
          <a:off x="4867275" y="7787640"/>
          <a:ext cx="3009899" cy="2262076"/>
        </a:xfrm>
        <a:prstGeom prst="rect">
          <a:avLst/>
        </a:prstGeom>
      </xdr:spPr>
    </xdr:pic>
    <xdr:clientData/>
  </xdr:twoCellAnchor>
  <xdr:twoCellAnchor editAs="oneCell">
    <xdr:from>
      <xdr:col>8</xdr:col>
      <xdr:colOff>0</xdr:colOff>
      <xdr:row>4</xdr:row>
      <xdr:rowOff>1</xdr:rowOff>
    </xdr:from>
    <xdr:to>
      <xdr:col>11</xdr:col>
      <xdr:colOff>590550</xdr:colOff>
      <xdr:row>16</xdr:row>
      <xdr:rowOff>55059</xdr:rowOff>
    </xdr:to>
    <xdr:pic>
      <xdr:nvPicPr>
        <xdr:cNvPr id="6" name="Image 5">
          <a:extLst>
            <a:ext uri="{FF2B5EF4-FFF2-40B4-BE49-F238E27FC236}">
              <a16:creationId xmlns:a16="http://schemas.microsoft.com/office/drawing/2014/main" id="{036798C0-5DB8-4741-94D0-9EB8D49B42E4}"/>
            </a:ext>
          </a:extLst>
        </xdr:cNvPr>
        <xdr:cNvPicPr>
          <a:picLocks noChangeAspect="1"/>
        </xdr:cNvPicPr>
      </xdr:nvPicPr>
      <xdr:blipFill>
        <a:blip xmlns:r="http://schemas.openxmlformats.org/officeDocument/2006/relationships" r:embed="rId5"/>
        <a:stretch>
          <a:fillRect/>
        </a:stretch>
      </xdr:blipFill>
      <xdr:spPr>
        <a:xfrm>
          <a:off x="4792980" y="731521"/>
          <a:ext cx="2966085" cy="2215328"/>
        </a:xfrm>
        <a:prstGeom prst="rect">
          <a:avLst/>
        </a:prstGeom>
      </xdr:spPr>
    </xdr:pic>
    <xdr:clientData/>
  </xdr:twoCellAnchor>
  <xdr:twoCellAnchor editAs="oneCell">
    <xdr:from>
      <xdr:col>8</xdr:col>
      <xdr:colOff>76201</xdr:colOff>
      <xdr:row>16</xdr:row>
      <xdr:rowOff>114301</xdr:rowOff>
    </xdr:from>
    <xdr:to>
      <xdr:col>11</xdr:col>
      <xdr:colOff>630555</xdr:colOff>
      <xdr:row>28</xdr:row>
      <xdr:rowOff>153687</xdr:rowOff>
    </xdr:to>
    <xdr:pic>
      <xdr:nvPicPr>
        <xdr:cNvPr id="7" name="Image 6">
          <a:extLst>
            <a:ext uri="{FF2B5EF4-FFF2-40B4-BE49-F238E27FC236}">
              <a16:creationId xmlns:a16="http://schemas.microsoft.com/office/drawing/2014/main" id="{61505679-72EB-4D59-9E9F-2097EFF67B14}"/>
            </a:ext>
          </a:extLst>
        </xdr:cNvPr>
        <xdr:cNvPicPr>
          <a:picLocks noChangeAspect="1"/>
        </xdr:cNvPicPr>
      </xdr:nvPicPr>
      <xdr:blipFill>
        <a:blip xmlns:r="http://schemas.openxmlformats.org/officeDocument/2006/relationships" r:embed="rId6"/>
        <a:stretch>
          <a:fillRect/>
        </a:stretch>
      </xdr:blipFill>
      <xdr:spPr>
        <a:xfrm>
          <a:off x="6486526" y="3009901"/>
          <a:ext cx="2922269" cy="2211086"/>
        </a:xfrm>
        <a:prstGeom prst="rect">
          <a:avLst/>
        </a:prstGeom>
      </xdr:spPr>
    </xdr:pic>
    <xdr:clientData/>
  </xdr:twoCellAnchor>
  <xdr:twoCellAnchor editAs="oneCell">
    <xdr:from>
      <xdr:col>8</xdr:col>
      <xdr:colOff>57150</xdr:colOff>
      <xdr:row>29</xdr:row>
      <xdr:rowOff>22859</xdr:rowOff>
    </xdr:from>
    <xdr:to>
      <xdr:col>11</xdr:col>
      <xdr:colOff>662940</xdr:colOff>
      <xdr:row>41</xdr:row>
      <xdr:rowOff>36981</xdr:rowOff>
    </xdr:to>
    <xdr:pic>
      <xdr:nvPicPr>
        <xdr:cNvPr id="8" name="Image 7">
          <a:extLst>
            <a:ext uri="{FF2B5EF4-FFF2-40B4-BE49-F238E27FC236}">
              <a16:creationId xmlns:a16="http://schemas.microsoft.com/office/drawing/2014/main" id="{76713E7C-9645-4007-9D51-566BFA7F1343}"/>
            </a:ext>
          </a:extLst>
        </xdr:cNvPr>
        <xdr:cNvPicPr>
          <a:picLocks noChangeAspect="1"/>
        </xdr:cNvPicPr>
      </xdr:nvPicPr>
      <xdr:blipFill>
        <a:blip xmlns:r="http://schemas.openxmlformats.org/officeDocument/2006/relationships" r:embed="rId7"/>
        <a:stretch>
          <a:fillRect/>
        </a:stretch>
      </xdr:blipFill>
      <xdr:spPr>
        <a:xfrm>
          <a:off x="4850130" y="5509259"/>
          <a:ext cx="2969895" cy="2189633"/>
        </a:xfrm>
        <a:prstGeom prst="rect">
          <a:avLst/>
        </a:prstGeom>
      </xdr:spPr>
    </xdr:pic>
    <xdr:clientData/>
  </xdr:twoCellAnchor>
  <xdr:twoCellAnchor editAs="oneCell">
    <xdr:from>
      <xdr:col>11</xdr:col>
      <xdr:colOff>723900</xdr:colOff>
      <xdr:row>41</xdr:row>
      <xdr:rowOff>38100</xdr:rowOff>
    </xdr:from>
    <xdr:to>
      <xdr:col>16</xdr:col>
      <xdr:colOff>53340</xdr:colOff>
      <xdr:row>54</xdr:row>
      <xdr:rowOff>97581</xdr:rowOff>
    </xdr:to>
    <xdr:pic>
      <xdr:nvPicPr>
        <xdr:cNvPr id="9" name="Image 8">
          <a:extLst>
            <a:ext uri="{FF2B5EF4-FFF2-40B4-BE49-F238E27FC236}">
              <a16:creationId xmlns:a16="http://schemas.microsoft.com/office/drawing/2014/main" id="{FD0D99B2-D618-4C48-B696-79BD547021FC}"/>
            </a:ext>
          </a:extLst>
        </xdr:cNvPr>
        <xdr:cNvPicPr>
          <a:picLocks noChangeAspect="1"/>
        </xdr:cNvPicPr>
      </xdr:nvPicPr>
      <xdr:blipFill>
        <a:blip xmlns:r="http://schemas.openxmlformats.org/officeDocument/2006/relationships" r:embed="rId8"/>
        <a:stretch>
          <a:fillRect/>
        </a:stretch>
      </xdr:blipFill>
      <xdr:spPr>
        <a:xfrm>
          <a:off x="7894320" y="7719060"/>
          <a:ext cx="3274695" cy="2415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358140</xdr:colOff>
      <xdr:row>9</xdr:row>
      <xdr:rowOff>148798</xdr:rowOff>
    </xdr:to>
    <xdr:pic>
      <xdr:nvPicPr>
        <xdr:cNvPr id="2" name="Image 1">
          <a:extLst>
            <a:ext uri="{FF2B5EF4-FFF2-40B4-BE49-F238E27FC236}">
              <a16:creationId xmlns:a16="http://schemas.microsoft.com/office/drawing/2014/main" id="{7AB1001B-4BF0-482E-8047-97A2A50F428F}"/>
            </a:ext>
          </a:extLst>
        </xdr:cNvPr>
        <xdr:cNvPicPr>
          <a:picLocks noChangeAspect="1"/>
        </xdr:cNvPicPr>
      </xdr:nvPicPr>
      <xdr:blipFill>
        <a:blip xmlns:r="http://schemas.openxmlformats.org/officeDocument/2006/relationships" r:embed="rId1"/>
        <a:stretch>
          <a:fillRect/>
        </a:stretch>
      </xdr:blipFill>
      <xdr:spPr>
        <a:xfrm>
          <a:off x="8974455" y="192405"/>
          <a:ext cx="4063365" cy="1585168"/>
        </a:xfrm>
        <a:prstGeom prst="rect">
          <a:avLst/>
        </a:prstGeom>
      </xdr:spPr>
    </xdr:pic>
    <xdr:clientData/>
  </xdr:twoCellAnchor>
  <xdr:twoCellAnchor editAs="oneCell">
    <xdr:from>
      <xdr:col>35</xdr:col>
      <xdr:colOff>0</xdr:colOff>
      <xdr:row>1</xdr:row>
      <xdr:rowOff>1</xdr:rowOff>
    </xdr:from>
    <xdr:to>
      <xdr:col>42</xdr:col>
      <xdr:colOff>173355</xdr:colOff>
      <xdr:row>10</xdr:row>
      <xdr:rowOff>16267</xdr:rowOff>
    </xdr:to>
    <xdr:pic>
      <xdr:nvPicPr>
        <xdr:cNvPr id="3" name="Image 2">
          <a:extLst>
            <a:ext uri="{FF2B5EF4-FFF2-40B4-BE49-F238E27FC236}">
              <a16:creationId xmlns:a16="http://schemas.microsoft.com/office/drawing/2014/main" id="{1AD2C991-BDB6-486A-BFA8-FBCDFE4FFFD9}"/>
            </a:ext>
          </a:extLst>
        </xdr:cNvPr>
        <xdr:cNvPicPr>
          <a:picLocks noChangeAspect="1"/>
        </xdr:cNvPicPr>
      </xdr:nvPicPr>
      <xdr:blipFill>
        <a:blip xmlns:r="http://schemas.openxmlformats.org/officeDocument/2006/relationships" r:embed="rId2"/>
        <a:stretch>
          <a:fillRect/>
        </a:stretch>
      </xdr:blipFill>
      <xdr:spPr>
        <a:xfrm>
          <a:off x="13472160" y="182881"/>
          <a:ext cx="5699760" cy="1635516"/>
        </a:xfrm>
        <a:prstGeom prst="rect">
          <a:avLst/>
        </a:prstGeom>
      </xdr:spPr>
    </xdr:pic>
    <xdr:clientData/>
  </xdr:twoCellAnchor>
  <xdr:twoCellAnchor editAs="oneCell">
    <xdr:from>
      <xdr:col>29</xdr:col>
      <xdr:colOff>114300</xdr:colOff>
      <xdr:row>11</xdr:row>
      <xdr:rowOff>1</xdr:rowOff>
    </xdr:from>
    <xdr:to>
      <xdr:col>34</xdr:col>
      <xdr:colOff>401955</xdr:colOff>
      <xdr:row>30</xdr:row>
      <xdr:rowOff>21909</xdr:rowOff>
    </xdr:to>
    <xdr:pic>
      <xdr:nvPicPr>
        <xdr:cNvPr id="4" name="Image 3">
          <a:extLst>
            <a:ext uri="{FF2B5EF4-FFF2-40B4-BE49-F238E27FC236}">
              <a16:creationId xmlns:a16="http://schemas.microsoft.com/office/drawing/2014/main" id="{7A42A33F-A3A2-4C91-BD35-31B61DE9B23E}"/>
            </a:ext>
          </a:extLst>
        </xdr:cNvPr>
        <xdr:cNvPicPr>
          <a:picLocks noChangeAspect="1"/>
        </xdr:cNvPicPr>
      </xdr:nvPicPr>
      <xdr:blipFill>
        <a:blip xmlns:r="http://schemas.openxmlformats.org/officeDocument/2006/relationships" r:embed="rId3"/>
        <a:stretch>
          <a:fillRect/>
        </a:stretch>
      </xdr:blipFill>
      <xdr:spPr>
        <a:xfrm>
          <a:off x="8831580" y="1828801"/>
          <a:ext cx="4246245" cy="3466148"/>
        </a:xfrm>
        <a:prstGeom prst="rect">
          <a:avLst/>
        </a:prstGeom>
      </xdr:spPr>
    </xdr:pic>
    <xdr:clientData/>
  </xdr:twoCellAnchor>
  <xdr:twoCellAnchor editAs="oneCell">
    <xdr:from>
      <xdr:col>34</xdr:col>
      <xdr:colOff>548640</xdr:colOff>
      <xdr:row>11</xdr:row>
      <xdr:rowOff>110491</xdr:rowOff>
    </xdr:from>
    <xdr:to>
      <xdr:col>40</xdr:col>
      <xdr:colOff>224790</xdr:colOff>
      <xdr:row>27</xdr:row>
      <xdr:rowOff>92458</xdr:rowOff>
    </xdr:to>
    <xdr:pic>
      <xdr:nvPicPr>
        <xdr:cNvPr id="5" name="Image 4">
          <a:extLst>
            <a:ext uri="{FF2B5EF4-FFF2-40B4-BE49-F238E27FC236}">
              <a16:creationId xmlns:a16="http://schemas.microsoft.com/office/drawing/2014/main" id="{8D46CBCD-452D-49B6-A3A7-5866348C7470}"/>
            </a:ext>
          </a:extLst>
        </xdr:cNvPr>
        <xdr:cNvPicPr>
          <a:picLocks noChangeAspect="1"/>
        </xdr:cNvPicPr>
      </xdr:nvPicPr>
      <xdr:blipFill>
        <a:blip xmlns:r="http://schemas.openxmlformats.org/officeDocument/2006/relationships" r:embed="rId4"/>
        <a:stretch>
          <a:fillRect/>
        </a:stretch>
      </xdr:blipFill>
      <xdr:spPr>
        <a:xfrm>
          <a:off x="13228320" y="1939291"/>
          <a:ext cx="4415790" cy="2871852"/>
        </a:xfrm>
        <a:prstGeom prst="rect">
          <a:avLst/>
        </a:prstGeom>
      </xdr:spPr>
    </xdr:pic>
    <xdr:clientData/>
  </xdr:twoCellAnchor>
  <xdr:twoCellAnchor editAs="oneCell">
    <xdr:from>
      <xdr:col>40</xdr:col>
      <xdr:colOff>377190</xdr:colOff>
      <xdr:row>11</xdr:row>
      <xdr:rowOff>28576</xdr:rowOff>
    </xdr:from>
    <xdr:to>
      <xdr:col>47</xdr:col>
      <xdr:colOff>206795</xdr:colOff>
      <xdr:row>19</xdr:row>
      <xdr:rowOff>17146</xdr:rowOff>
    </xdr:to>
    <xdr:pic>
      <xdr:nvPicPr>
        <xdr:cNvPr id="6" name="Image 5">
          <a:extLst>
            <a:ext uri="{FF2B5EF4-FFF2-40B4-BE49-F238E27FC236}">
              <a16:creationId xmlns:a16="http://schemas.microsoft.com/office/drawing/2014/main" id="{EA083330-E535-48BF-949A-AB6A4D463B7F}"/>
            </a:ext>
          </a:extLst>
        </xdr:cNvPr>
        <xdr:cNvPicPr>
          <a:picLocks noChangeAspect="1"/>
        </xdr:cNvPicPr>
      </xdr:nvPicPr>
      <xdr:blipFill>
        <a:blip xmlns:r="http://schemas.openxmlformats.org/officeDocument/2006/relationships" r:embed="rId5"/>
        <a:stretch>
          <a:fillRect/>
        </a:stretch>
      </xdr:blipFill>
      <xdr:spPr>
        <a:xfrm>
          <a:off x="17811750" y="1857376"/>
          <a:ext cx="5357915" cy="1453515"/>
        </a:xfrm>
        <a:prstGeom prst="rect">
          <a:avLst/>
        </a:prstGeom>
      </xdr:spPr>
    </xdr:pic>
    <xdr:clientData/>
  </xdr:twoCellAnchor>
  <xdr:twoCellAnchor editAs="oneCell">
    <xdr:from>
      <xdr:col>29</xdr:col>
      <xdr:colOff>1</xdr:colOff>
      <xdr:row>31</xdr:row>
      <xdr:rowOff>1</xdr:rowOff>
    </xdr:from>
    <xdr:to>
      <xdr:col>34</xdr:col>
      <xdr:colOff>516349</xdr:colOff>
      <xdr:row>46</xdr:row>
      <xdr:rowOff>53341</xdr:rowOff>
    </xdr:to>
    <xdr:pic>
      <xdr:nvPicPr>
        <xdr:cNvPr id="7" name="Image 6">
          <a:extLst>
            <a:ext uri="{FF2B5EF4-FFF2-40B4-BE49-F238E27FC236}">
              <a16:creationId xmlns:a16="http://schemas.microsoft.com/office/drawing/2014/main" id="{CC9021F8-9A44-4F6D-9B54-D97D903F648A}"/>
            </a:ext>
          </a:extLst>
        </xdr:cNvPr>
        <xdr:cNvPicPr>
          <a:picLocks noChangeAspect="1"/>
        </xdr:cNvPicPr>
      </xdr:nvPicPr>
      <xdr:blipFill>
        <a:blip xmlns:r="http://schemas.openxmlformats.org/officeDocument/2006/relationships" r:embed="rId6"/>
        <a:stretch>
          <a:fillRect/>
        </a:stretch>
      </xdr:blipFill>
      <xdr:spPr>
        <a:xfrm>
          <a:off x="8717281" y="5303521"/>
          <a:ext cx="4474938" cy="2762250"/>
        </a:xfrm>
        <a:prstGeom prst="rect">
          <a:avLst/>
        </a:prstGeom>
      </xdr:spPr>
    </xdr:pic>
    <xdr:clientData/>
  </xdr:twoCellAnchor>
  <xdr:twoCellAnchor editAs="oneCell">
    <xdr:from>
      <xdr:col>35</xdr:col>
      <xdr:colOff>0</xdr:colOff>
      <xdr:row>30</xdr:row>
      <xdr:rowOff>0</xdr:rowOff>
    </xdr:from>
    <xdr:to>
      <xdr:col>40</xdr:col>
      <xdr:colOff>668655</xdr:colOff>
      <xdr:row>46</xdr:row>
      <xdr:rowOff>19698</xdr:rowOff>
    </xdr:to>
    <xdr:pic>
      <xdr:nvPicPr>
        <xdr:cNvPr id="8" name="Image 7">
          <a:extLst>
            <a:ext uri="{FF2B5EF4-FFF2-40B4-BE49-F238E27FC236}">
              <a16:creationId xmlns:a16="http://schemas.microsoft.com/office/drawing/2014/main" id="{B0730E96-359B-487D-9486-7D03189A7B4B}"/>
            </a:ext>
          </a:extLst>
        </xdr:cNvPr>
        <xdr:cNvPicPr>
          <a:picLocks noChangeAspect="1"/>
        </xdr:cNvPicPr>
      </xdr:nvPicPr>
      <xdr:blipFill>
        <a:blip xmlns:r="http://schemas.openxmlformats.org/officeDocument/2006/relationships" r:embed="rId7"/>
        <a:stretch>
          <a:fillRect/>
        </a:stretch>
      </xdr:blipFill>
      <xdr:spPr>
        <a:xfrm>
          <a:off x="13472160" y="5120640"/>
          <a:ext cx="4631055" cy="2915298"/>
        </a:xfrm>
        <a:prstGeom prst="rect">
          <a:avLst/>
        </a:prstGeom>
      </xdr:spPr>
    </xdr:pic>
    <xdr:clientData/>
  </xdr:twoCellAnchor>
  <xdr:twoCellAnchor editAs="oneCell">
    <xdr:from>
      <xdr:col>5</xdr:col>
      <xdr:colOff>472440</xdr:colOff>
      <xdr:row>34</xdr:row>
      <xdr:rowOff>0</xdr:rowOff>
    </xdr:from>
    <xdr:to>
      <xdr:col>14</xdr:col>
      <xdr:colOff>94836</xdr:colOff>
      <xdr:row>49</xdr:row>
      <xdr:rowOff>15240</xdr:rowOff>
    </xdr:to>
    <xdr:pic>
      <xdr:nvPicPr>
        <xdr:cNvPr id="9" name="Image 8">
          <a:extLst>
            <a:ext uri="{FF2B5EF4-FFF2-40B4-BE49-F238E27FC236}">
              <a16:creationId xmlns:a16="http://schemas.microsoft.com/office/drawing/2014/main" id="{6B9F33C0-FB4B-9F45-AD98-2EF03C996335}"/>
            </a:ext>
          </a:extLst>
        </xdr:cNvPr>
        <xdr:cNvPicPr>
          <a:picLocks noChangeAspect="1"/>
        </xdr:cNvPicPr>
      </xdr:nvPicPr>
      <xdr:blipFill>
        <a:blip xmlns:r="http://schemas.openxmlformats.org/officeDocument/2006/relationships" r:embed="rId8"/>
        <a:stretch>
          <a:fillRect/>
        </a:stretch>
      </xdr:blipFill>
      <xdr:spPr>
        <a:xfrm>
          <a:off x="4025265" y="6153150"/>
          <a:ext cx="4937346" cy="2729865"/>
        </a:xfrm>
        <a:prstGeom prst="rect">
          <a:avLst/>
        </a:prstGeom>
      </xdr:spPr>
    </xdr:pic>
    <xdr:clientData/>
  </xdr:twoCellAnchor>
  <xdr:twoCellAnchor editAs="oneCell">
    <xdr:from>
      <xdr:col>0</xdr:col>
      <xdr:colOff>0</xdr:colOff>
      <xdr:row>34</xdr:row>
      <xdr:rowOff>19051</xdr:rowOff>
    </xdr:from>
    <xdr:to>
      <xdr:col>5</xdr:col>
      <xdr:colOff>211455</xdr:colOff>
      <xdr:row>48</xdr:row>
      <xdr:rowOff>20747</xdr:rowOff>
    </xdr:to>
    <xdr:pic>
      <xdr:nvPicPr>
        <xdr:cNvPr id="10" name="Image 9">
          <a:extLst>
            <a:ext uri="{FF2B5EF4-FFF2-40B4-BE49-F238E27FC236}">
              <a16:creationId xmlns:a16="http://schemas.microsoft.com/office/drawing/2014/main" id="{2E268344-BEC1-2727-2DAD-C74EE7CAE39B}"/>
            </a:ext>
          </a:extLst>
        </xdr:cNvPr>
        <xdr:cNvPicPr>
          <a:picLocks noChangeAspect="1"/>
        </xdr:cNvPicPr>
      </xdr:nvPicPr>
      <xdr:blipFill>
        <a:blip xmlns:r="http://schemas.openxmlformats.org/officeDocument/2006/relationships" r:embed="rId9"/>
        <a:stretch>
          <a:fillRect/>
        </a:stretch>
      </xdr:blipFill>
      <xdr:spPr>
        <a:xfrm>
          <a:off x="0" y="6172201"/>
          <a:ext cx="3768090" cy="2527726"/>
        </a:xfrm>
        <a:prstGeom prst="rect">
          <a:avLst/>
        </a:prstGeom>
      </xdr:spPr>
    </xdr:pic>
    <xdr:clientData/>
  </xdr:twoCellAnchor>
  <xdr:twoCellAnchor editAs="oneCell">
    <xdr:from>
      <xdr:col>0</xdr:col>
      <xdr:colOff>0</xdr:colOff>
      <xdr:row>49</xdr:row>
      <xdr:rowOff>1</xdr:rowOff>
    </xdr:from>
    <xdr:to>
      <xdr:col>7</xdr:col>
      <xdr:colOff>174562</xdr:colOff>
      <xdr:row>68</xdr:row>
      <xdr:rowOff>91441</xdr:rowOff>
    </xdr:to>
    <xdr:pic>
      <xdr:nvPicPr>
        <xdr:cNvPr id="11" name="Image 10">
          <a:extLst>
            <a:ext uri="{FF2B5EF4-FFF2-40B4-BE49-F238E27FC236}">
              <a16:creationId xmlns:a16="http://schemas.microsoft.com/office/drawing/2014/main" id="{290A33B7-841F-B7C6-474B-D0BFA3179AD6}"/>
            </a:ext>
          </a:extLst>
        </xdr:cNvPr>
        <xdr:cNvPicPr>
          <a:picLocks noChangeAspect="1"/>
        </xdr:cNvPicPr>
      </xdr:nvPicPr>
      <xdr:blipFill>
        <a:blip xmlns:r="http://schemas.openxmlformats.org/officeDocument/2006/relationships" r:embed="rId10"/>
        <a:stretch>
          <a:fillRect/>
        </a:stretch>
      </xdr:blipFill>
      <xdr:spPr>
        <a:xfrm>
          <a:off x="0" y="8867776"/>
          <a:ext cx="4906582" cy="3524250"/>
        </a:xfrm>
        <a:prstGeom prst="rect">
          <a:avLst/>
        </a:prstGeom>
      </xdr:spPr>
    </xdr:pic>
    <xdr:clientData/>
  </xdr:twoCellAnchor>
  <xdr:twoCellAnchor editAs="oneCell">
    <xdr:from>
      <xdr:col>7</xdr:col>
      <xdr:colOff>285751</xdr:colOff>
      <xdr:row>50</xdr:row>
      <xdr:rowOff>0</xdr:rowOff>
    </xdr:from>
    <xdr:to>
      <xdr:col>15</xdr:col>
      <xdr:colOff>323851</xdr:colOff>
      <xdr:row>66</xdr:row>
      <xdr:rowOff>54552</xdr:rowOff>
    </xdr:to>
    <xdr:pic>
      <xdr:nvPicPr>
        <xdr:cNvPr id="12" name="Image 11">
          <a:extLst>
            <a:ext uri="{FF2B5EF4-FFF2-40B4-BE49-F238E27FC236}">
              <a16:creationId xmlns:a16="http://schemas.microsoft.com/office/drawing/2014/main" id="{53197A6B-8026-A313-87AF-3F2F105F5AEA}"/>
            </a:ext>
          </a:extLst>
        </xdr:cNvPr>
        <xdr:cNvPicPr>
          <a:picLocks noChangeAspect="1"/>
        </xdr:cNvPicPr>
      </xdr:nvPicPr>
      <xdr:blipFill>
        <a:blip xmlns:r="http://schemas.openxmlformats.org/officeDocument/2006/relationships" r:embed="rId11"/>
        <a:stretch>
          <a:fillRect/>
        </a:stretch>
      </xdr:blipFill>
      <xdr:spPr>
        <a:xfrm>
          <a:off x="5038726" y="9048750"/>
          <a:ext cx="4857750" cy="2950152"/>
        </a:xfrm>
        <a:prstGeom prst="rect">
          <a:avLst/>
        </a:prstGeom>
      </xdr:spPr>
    </xdr:pic>
    <xdr:clientData/>
  </xdr:twoCellAnchor>
  <xdr:twoCellAnchor editAs="oneCell">
    <xdr:from>
      <xdr:col>0</xdr:col>
      <xdr:colOff>0</xdr:colOff>
      <xdr:row>68</xdr:row>
      <xdr:rowOff>167640</xdr:rowOff>
    </xdr:from>
    <xdr:to>
      <xdr:col>7</xdr:col>
      <xdr:colOff>401955</xdr:colOff>
      <xdr:row>87</xdr:row>
      <xdr:rowOff>91968</xdr:rowOff>
    </xdr:to>
    <xdr:pic>
      <xdr:nvPicPr>
        <xdr:cNvPr id="13" name="Image 12">
          <a:extLst>
            <a:ext uri="{FF2B5EF4-FFF2-40B4-BE49-F238E27FC236}">
              <a16:creationId xmlns:a16="http://schemas.microsoft.com/office/drawing/2014/main" id="{17998178-7AD1-41E0-7623-40ADBC24C5FB}"/>
            </a:ext>
          </a:extLst>
        </xdr:cNvPr>
        <xdr:cNvPicPr>
          <a:picLocks noChangeAspect="1"/>
        </xdr:cNvPicPr>
      </xdr:nvPicPr>
      <xdr:blipFill>
        <a:blip xmlns:r="http://schemas.openxmlformats.org/officeDocument/2006/relationships" r:embed="rId12"/>
        <a:stretch>
          <a:fillRect/>
        </a:stretch>
      </xdr:blipFill>
      <xdr:spPr>
        <a:xfrm>
          <a:off x="0" y="12473940"/>
          <a:ext cx="5153025" cy="3370473"/>
        </a:xfrm>
        <a:prstGeom prst="rect">
          <a:avLst/>
        </a:prstGeom>
      </xdr:spPr>
    </xdr:pic>
    <xdr:clientData/>
  </xdr:twoCellAnchor>
  <xdr:twoCellAnchor editAs="oneCell">
    <xdr:from>
      <xdr:col>7</xdr:col>
      <xdr:colOff>550545</xdr:colOff>
      <xdr:row>69</xdr:row>
      <xdr:rowOff>7620</xdr:rowOff>
    </xdr:from>
    <xdr:to>
      <xdr:col>17</xdr:col>
      <xdr:colOff>206362</xdr:colOff>
      <xdr:row>86</xdr:row>
      <xdr:rowOff>40005</xdr:rowOff>
    </xdr:to>
    <xdr:pic>
      <xdr:nvPicPr>
        <xdr:cNvPr id="14" name="Image 13">
          <a:extLst>
            <a:ext uri="{FF2B5EF4-FFF2-40B4-BE49-F238E27FC236}">
              <a16:creationId xmlns:a16="http://schemas.microsoft.com/office/drawing/2014/main" id="{BCD31C7B-78A8-75B5-E125-229B749BC4B0}"/>
            </a:ext>
          </a:extLst>
        </xdr:cNvPr>
        <xdr:cNvPicPr>
          <a:picLocks noChangeAspect="1"/>
        </xdr:cNvPicPr>
      </xdr:nvPicPr>
      <xdr:blipFill>
        <a:blip xmlns:r="http://schemas.openxmlformats.org/officeDocument/2006/relationships" r:embed="rId13"/>
        <a:stretch>
          <a:fillRect/>
        </a:stretch>
      </xdr:blipFill>
      <xdr:spPr>
        <a:xfrm>
          <a:off x="5303520" y="12494895"/>
          <a:ext cx="5841352" cy="3108960"/>
        </a:xfrm>
        <a:prstGeom prst="rect">
          <a:avLst/>
        </a:prstGeom>
      </xdr:spPr>
    </xdr:pic>
    <xdr:clientData/>
  </xdr:twoCellAnchor>
  <xdr:twoCellAnchor editAs="oneCell">
    <xdr:from>
      <xdr:col>22</xdr:col>
      <xdr:colOff>1120140</xdr:colOff>
      <xdr:row>49</xdr:row>
      <xdr:rowOff>38101</xdr:rowOff>
    </xdr:from>
    <xdr:to>
      <xdr:col>31</xdr:col>
      <xdr:colOff>363855</xdr:colOff>
      <xdr:row>71</xdr:row>
      <xdr:rowOff>168239</xdr:rowOff>
    </xdr:to>
    <xdr:pic>
      <xdr:nvPicPr>
        <xdr:cNvPr id="15" name="Image 14">
          <a:extLst>
            <a:ext uri="{FF2B5EF4-FFF2-40B4-BE49-F238E27FC236}">
              <a16:creationId xmlns:a16="http://schemas.microsoft.com/office/drawing/2014/main" id="{50F06FF8-73F3-2055-62A7-276EE0DB305C}"/>
            </a:ext>
          </a:extLst>
        </xdr:cNvPr>
        <xdr:cNvPicPr>
          <a:picLocks noChangeAspect="1"/>
        </xdr:cNvPicPr>
      </xdr:nvPicPr>
      <xdr:blipFill>
        <a:blip xmlns:r="http://schemas.openxmlformats.org/officeDocument/2006/relationships" r:embed="rId14"/>
        <a:stretch>
          <a:fillRect/>
        </a:stretch>
      </xdr:blipFill>
      <xdr:spPr>
        <a:xfrm>
          <a:off x="14940915" y="8905876"/>
          <a:ext cx="4993005" cy="4102063"/>
        </a:xfrm>
        <a:prstGeom prst="rect">
          <a:avLst/>
        </a:prstGeom>
      </xdr:spPr>
    </xdr:pic>
    <xdr:clientData/>
  </xdr:twoCellAnchor>
  <xdr:twoCellAnchor editAs="oneCell">
    <xdr:from>
      <xdr:col>31</xdr:col>
      <xdr:colOff>531496</xdr:colOff>
      <xdr:row>48</xdr:row>
      <xdr:rowOff>53340</xdr:rowOff>
    </xdr:from>
    <xdr:to>
      <xdr:col>38</xdr:col>
      <xdr:colOff>590551</xdr:colOff>
      <xdr:row>68</xdr:row>
      <xdr:rowOff>20421</xdr:rowOff>
    </xdr:to>
    <xdr:pic>
      <xdr:nvPicPr>
        <xdr:cNvPr id="16" name="Image 15">
          <a:extLst>
            <a:ext uri="{FF2B5EF4-FFF2-40B4-BE49-F238E27FC236}">
              <a16:creationId xmlns:a16="http://schemas.microsoft.com/office/drawing/2014/main" id="{56C7F10C-2DCB-6CA5-593B-C471DCFE2E3D}"/>
            </a:ext>
          </a:extLst>
        </xdr:cNvPr>
        <xdr:cNvPicPr>
          <a:picLocks noChangeAspect="1"/>
        </xdr:cNvPicPr>
      </xdr:nvPicPr>
      <xdr:blipFill>
        <a:blip xmlns:r="http://schemas.openxmlformats.org/officeDocument/2006/relationships" r:embed="rId15"/>
        <a:stretch>
          <a:fillRect/>
        </a:stretch>
      </xdr:blipFill>
      <xdr:spPr>
        <a:xfrm>
          <a:off x="20095846" y="8740140"/>
          <a:ext cx="5585460" cy="3586581"/>
        </a:xfrm>
        <a:prstGeom prst="rect">
          <a:avLst/>
        </a:prstGeom>
      </xdr:spPr>
    </xdr:pic>
    <xdr:clientData/>
  </xdr:twoCellAnchor>
  <xdr:twoCellAnchor editAs="oneCell">
    <xdr:from>
      <xdr:col>15</xdr:col>
      <xdr:colOff>531496</xdr:colOff>
      <xdr:row>54</xdr:row>
      <xdr:rowOff>38100</xdr:rowOff>
    </xdr:from>
    <xdr:to>
      <xdr:col>22</xdr:col>
      <xdr:colOff>1011556</xdr:colOff>
      <xdr:row>60</xdr:row>
      <xdr:rowOff>133637</xdr:rowOff>
    </xdr:to>
    <xdr:pic>
      <xdr:nvPicPr>
        <xdr:cNvPr id="17" name="Image 16">
          <a:extLst>
            <a:ext uri="{FF2B5EF4-FFF2-40B4-BE49-F238E27FC236}">
              <a16:creationId xmlns:a16="http://schemas.microsoft.com/office/drawing/2014/main" id="{A373828F-5B85-C315-B178-75E4AD7A9B61}"/>
            </a:ext>
          </a:extLst>
        </xdr:cNvPr>
        <xdr:cNvPicPr>
          <a:picLocks noChangeAspect="1"/>
        </xdr:cNvPicPr>
      </xdr:nvPicPr>
      <xdr:blipFill>
        <a:blip xmlns:r="http://schemas.openxmlformats.org/officeDocument/2006/relationships" r:embed="rId16"/>
        <a:stretch>
          <a:fillRect/>
        </a:stretch>
      </xdr:blipFill>
      <xdr:spPr>
        <a:xfrm>
          <a:off x="10104121" y="9810750"/>
          <a:ext cx="4733925" cy="1173767"/>
        </a:xfrm>
        <a:prstGeom prst="rect">
          <a:avLst/>
        </a:prstGeom>
      </xdr:spPr>
    </xdr:pic>
    <xdr:clientData/>
  </xdr:twoCellAnchor>
  <xdr:twoCellAnchor editAs="oneCell">
    <xdr:from>
      <xdr:col>15</xdr:col>
      <xdr:colOff>28576</xdr:colOff>
      <xdr:row>36</xdr:row>
      <xdr:rowOff>28576</xdr:rowOff>
    </xdr:from>
    <xdr:to>
      <xdr:col>26</xdr:col>
      <xdr:colOff>57037</xdr:colOff>
      <xdr:row>46</xdr:row>
      <xdr:rowOff>66676</xdr:rowOff>
    </xdr:to>
    <xdr:pic>
      <xdr:nvPicPr>
        <xdr:cNvPr id="18" name="Image 17">
          <a:extLst>
            <a:ext uri="{FF2B5EF4-FFF2-40B4-BE49-F238E27FC236}">
              <a16:creationId xmlns:a16="http://schemas.microsoft.com/office/drawing/2014/main" id="{85A02AC3-8FF2-524A-7358-EE265EE80A1D}"/>
            </a:ext>
          </a:extLst>
        </xdr:cNvPr>
        <xdr:cNvPicPr>
          <a:picLocks noChangeAspect="1"/>
        </xdr:cNvPicPr>
      </xdr:nvPicPr>
      <xdr:blipFill>
        <a:blip xmlns:r="http://schemas.openxmlformats.org/officeDocument/2006/relationships" r:embed="rId17"/>
        <a:stretch>
          <a:fillRect/>
        </a:stretch>
      </xdr:blipFill>
      <xdr:spPr>
        <a:xfrm>
          <a:off x="9601201" y="6543676"/>
          <a:ext cx="7134111" cy="1847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497026</xdr:colOff>
      <xdr:row>18</xdr:row>
      <xdr:rowOff>57150</xdr:rowOff>
    </xdr:to>
    <xdr:pic>
      <xdr:nvPicPr>
        <xdr:cNvPr id="2" name="Image 1">
          <a:extLst>
            <a:ext uri="{FF2B5EF4-FFF2-40B4-BE49-F238E27FC236}">
              <a16:creationId xmlns:a16="http://schemas.microsoft.com/office/drawing/2014/main" id="{59184BF2-BE5D-4AF9-422C-64929211BA83}"/>
            </a:ext>
          </a:extLst>
        </xdr:cNvPr>
        <xdr:cNvPicPr>
          <a:picLocks noChangeAspect="1"/>
        </xdr:cNvPicPr>
      </xdr:nvPicPr>
      <xdr:blipFill>
        <a:blip xmlns:r="http://schemas.openxmlformats.org/officeDocument/2006/relationships" r:embed="rId1"/>
        <a:stretch>
          <a:fillRect/>
        </a:stretch>
      </xdr:blipFill>
      <xdr:spPr>
        <a:xfrm>
          <a:off x="0" y="180975"/>
          <a:ext cx="3659326" cy="3133725"/>
        </a:xfrm>
        <a:prstGeom prst="rect">
          <a:avLst/>
        </a:prstGeom>
      </xdr:spPr>
    </xdr:pic>
    <xdr:clientData/>
  </xdr:twoCellAnchor>
  <xdr:twoCellAnchor editAs="oneCell">
    <xdr:from>
      <xdr:col>0</xdr:col>
      <xdr:colOff>0</xdr:colOff>
      <xdr:row>19</xdr:row>
      <xdr:rowOff>1</xdr:rowOff>
    </xdr:from>
    <xdr:to>
      <xdr:col>7</xdr:col>
      <xdr:colOff>552450</xdr:colOff>
      <xdr:row>32</xdr:row>
      <xdr:rowOff>172472</xdr:rowOff>
    </xdr:to>
    <xdr:pic>
      <xdr:nvPicPr>
        <xdr:cNvPr id="3" name="Image 2">
          <a:extLst>
            <a:ext uri="{FF2B5EF4-FFF2-40B4-BE49-F238E27FC236}">
              <a16:creationId xmlns:a16="http://schemas.microsoft.com/office/drawing/2014/main" id="{E11DDB64-C6E6-1445-8E33-9284E61FB869}"/>
            </a:ext>
          </a:extLst>
        </xdr:cNvPr>
        <xdr:cNvPicPr>
          <a:picLocks noChangeAspect="1"/>
        </xdr:cNvPicPr>
      </xdr:nvPicPr>
      <xdr:blipFill>
        <a:blip xmlns:r="http://schemas.openxmlformats.org/officeDocument/2006/relationships" r:embed="rId2"/>
        <a:stretch>
          <a:fillRect/>
        </a:stretch>
      </xdr:blipFill>
      <xdr:spPr>
        <a:xfrm>
          <a:off x="0" y="3438526"/>
          <a:ext cx="6086475" cy="2509906"/>
        </a:xfrm>
        <a:prstGeom prst="rect">
          <a:avLst/>
        </a:prstGeom>
      </xdr:spPr>
    </xdr:pic>
    <xdr:clientData/>
  </xdr:twoCellAnchor>
  <xdr:twoCellAnchor editAs="oneCell">
    <xdr:from>
      <xdr:col>0</xdr:col>
      <xdr:colOff>1</xdr:colOff>
      <xdr:row>33</xdr:row>
      <xdr:rowOff>0</xdr:rowOff>
    </xdr:from>
    <xdr:to>
      <xdr:col>10</xdr:col>
      <xdr:colOff>400051</xdr:colOff>
      <xdr:row>53</xdr:row>
      <xdr:rowOff>57093</xdr:rowOff>
    </xdr:to>
    <xdr:pic>
      <xdr:nvPicPr>
        <xdr:cNvPr id="4" name="Image 3">
          <a:extLst>
            <a:ext uri="{FF2B5EF4-FFF2-40B4-BE49-F238E27FC236}">
              <a16:creationId xmlns:a16="http://schemas.microsoft.com/office/drawing/2014/main" id="{9A48A66B-AC0F-19B5-FA27-A957A1F25179}"/>
            </a:ext>
          </a:extLst>
        </xdr:cNvPr>
        <xdr:cNvPicPr>
          <a:picLocks noChangeAspect="1"/>
        </xdr:cNvPicPr>
      </xdr:nvPicPr>
      <xdr:blipFill>
        <a:blip xmlns:r="http://schemas.openxmlformats.org/officeDocument/2006/relationships" r:embed="rId3"/>
        <a:stretch>
          <a:fillRect/>
        </a:stretch>
      </xdr:blipFill>
      <xdr:spPr>
        <a:xfrm>
          <a:off x="1" y="5972175"/>
          <a:ext cx="8305800" cy="3676593"/>
        </a:xfrm>
        <a:prstGeom prst="rect">
          <a:avLst/>
        </a:prstGeom>
      </xdr:spPr>
    </xdr:pic>
    <xdr:clientData/>
  </xdr:twoCellAnchor>
  <xdr:twoCellAnchor editAs="oneCell">
    <xdr:from>
      <xdr:col>0</xdr:col>
      <xdr:colOff>0</xdr:colOff>
      <xdr:row>55</xdr:row>
      <xdr:rowOff>0</xdr:rowOff>
    </xdr:from>
    <xdr:to>
      <xdr:col>10</xdr:col>
      <xdr:colOff>326631</xdr:colOff>
      <xdr:row>79</xdr:row>
      <xdr:rowOff>56599</xdr:rowOff>
    </xdr:to>
    <xdr:pic>
      <xdr:nvPicPr>
        <xdr:cNvPr id="5" name="Image 4">
          <a:extLst>
            <a:ext uri="{FF2B5EF4-FFF2-40B4-BE49-F238E27FC236}">
              <a16:creationId xmlns:a16="http://schemas.microsoft.com/office/drawing/2014/main" id="{13B23076-7D7F-81DF-0806-FC8BC820D133}"/>
            </a:ext>
          </a:extLst>
        </xdr:cNvPr>
        <xdr:cNvPicPr>
          <a:picLocks noChangeAspect="1"/>
        </xdr:cNvPicPr>
      </xdr:nvPicPr>
      <xdr:blipFill>
        <a:blip xmlns:r="http://schemas.openxmlformats.org/officeDocument/2006/relationships" r:embed="rId4"/>
        <a:stretch>
          <a:fillRect/>
        </a:stretch>
      </xdr:blipFill>
      <xdr:spPr>
        <a:xfrm>
          <a:off x="0" y="9953625"/>
          <a:ext cx="8228571" cy="4409524"/>
        </a:xfrm>
        <a:prstGeom prst="rect">
          <a:avLst/>
        </a:prstGeom>
      </xdr:spPr>
    </xdr:pic>
    <xdr:clientData/>
  </xdr:twoCellAnchor>
  <xdr:twoCellAnchor editAs="oneCell">
    <xdr:from>
      <xdr:col>0</xdr:col>
      <xdr:colOff>0</xdr:colOff>
      <xdr:row>80</xdr:row>
      <xdr:rowOff>0</xdr:rowOff>
    </xdr:from>
    <xdr:to>
      <xdr:col>10</xdr:col>
      <xdr:colOff>284725</xdr:colOff>
      <xdr:row>110</xdr:row>
      <xdr:rowOff>37417</xdr:rowOff>
    </xdr:to>
    <xdr:pic>
      <xdr:nvPicPr>
        <xdr:cNvPr id="6" name="Image 5">
          <a:extLst>
            <a:ext uri="{FF2B5EF4-FFF2-40B4-BE49-F238E27FC236}">
              <a16:creationId xmlns:a16="http://schemas.microsoft.com/office/drawing/2014/main" id="{18A8AB61-7739-BA0C-D7E1-FDD7AC7714DD}"/>
            </a:ext>
          </a:extLst>
        </xdr:cNvPr>
        <xdr:cNvPicPr>
          <a:picLocks noChangeAspect="1"/>
        </xdr:cNvPicPr>
      </xdr:nvPicPr>
      <xdr:blipFill>
        <a:blip xmlns:r="http://schemas.openxmlformats.org/officeDocument/2006/relationships" r:embed="rId5"/>
        <a:stretch>
          <a:fillRect/>
        </a:stretch>
      </xdr:blipFill>
      <xdr:spPr>
        <a:xfrm>
          <a:off x="0" y="14478000"/>
          <a:ext cx="8200000" cy="5466667"/>
        </a:xfrm>
        <a:prstGeom prst="rect">
          <a:avLst/>
        </a:prstGeom>
      </xdr:spPr>
    </xdr:pic>
    <xdr:clientData/>
  </xdr:twoCellAnchor>
  <xdr:twoCellAnchor editAs="oneCell">
    <xdr:from>
      <xdr:col>0</xdr:col>
      <xdr:colOff>0</xdr:colOff>
      <xdr:row>112</xdr:row>
      <xdr:rowOff>0</xdr:rowOff>
    </xdr:from>
    <xdr:to>
      <xdr:col>5</xdr:col>
      <xdr:colOff>436501</xdr:colOff>
      <xdr:row>132</xdr:row>
      <xdr:rowOff>129540</xdr:rowOff>
    </xdr:to>
    <xdr:pic>
      <xdr:nvPicPr>
        <xdr:cNvPr id="7" name="Image 6">
          <a:extLst>
            <a:ext uri="{FF2B5EF4-FFF2-40B4-BE49-F238E27FC236}">
              <a16:creationId xmlns:a16="http://schemas.microsoft.com/office/drawing/2014/main" id="{113D46FD-0498-CEFF-53DD-DACA21E85901}"/>
            </a:ext>
          </a:extLst>
        </xdr:cNvPr>
        <xdr:cNvPicPr>
          <a:picLocks noChangeAspect="1"/>
        </xdr:cNvPicPr>
      </xdr:nvPicPr>
      <xdr:blipFill>
        <a:blip xmlns:r="http://schemas.openxmlformats.org/officeDocument/2006/relationships" r:embed="rId6"/>
        <a:stretch>
          <a:fillRect/>
        </a:stretch>
      </xdr:blipFill>
      <xdr:spPr>
        <a:xfrm>
          <a:off x="0" y="20269200"/>
          <a:ext cx="4402711" cy="3752850"/>
        </a:xfrm>
        <a:prstGeom prst="rect">
          <a:avLst/>
        </a:prstGeom>
      </xdr:spPr>
    </xdr:pic>
    <xdr:clientData/>
  </xdr:twoCellAnchor>
  <xdr:twoCellAnchor editAs="oneCell">
    <xdr:from>
      <xdr:col>0</xdr:col>
      <xdr:colOff>1</xdr:colOff>
      <xdr:row>133</xdr:row>
      <xdr:rowOff>0</xdr:rowOff>
    </xdr:from>
    <xdr:to>
      <xdr:col>5</xdr:col>
      <xdr:colOff>476251</xdr:colOff>
      <xdr:row>152</xdr:row>
      <xdr:rowOff>173121</xdr:rowOff>
    </xdr:to>
    <xdr:pic>
      <xdr:nvPicPr>
        <xdr:cNvPr id="8" name="Image 7">
          <a:extLst>
            <a:ext uri="{FF2B5EF4-FFF2-40B4-BE49-F238E27FC236}">
              <a16:creationId xmlns:a16="http://schemas.microsoft.com/office/drawing/2014/main" id="{0AF44257-EFF1-6B9B-ED0E-FFDB3E91FC69}"/>
            </a:ext>
          </a:extLst>
        </xdr:cNvPr>
        <xdr:cNvPicPr>
          <a:picLocks noChangeAspect="1"/>
        </xdr:cNvPicPr>
      </xdr:nvPicPr>
      <xdr:blipFill>
        <a:blip xmlns:r="http://schemas.openxmlformats.org/officeDocument/2006/relationships" r:embed="rId7"/>
        <a:stretch>
          <a:fillRect/>
        </a:stretch>
      </xdr:blipFill>
      <xdr:spPr>
        <a:xfrm>
          <a:off x="1" y="24069675"/>
          <a:ext cx="4419600" cy="3607836"/>
        </a:xfrm>
        <a:prstGeom prst="rect">
          <a:avLst/>
        </a:prstGeom>
      </xdr:spPr>
    </xdr:pic>
    <xdr:clientData/>
  </xdr:twoCellAnchor>
  <xdr:twoCellAnchor editAs="oneCell">
    <xdr:from>
      <xdr:col>0</xdr:col>
      <xdr:colOff>0</xdr:colOff>
      <xdr:row>153</xdr:row>
      <xdr:rowOff>1</xdr:rowOff>
    </xdr:from>
    <xdr:to>
      <xdr:col>5</xdr:col>
      <xdr:colOff>510540</xdr:colOff>
      <xdr:row>173</xdr:row>
      <xdr:rowOff>21725</xdr:rowOff>
    </xdr:to>
    <xdr:pic>
      <xdr:nvPicPr>
        <xdr:cNvPr id="9" name="Image 8">
          <a:extLst>
            <a:ext uri="{FF2B5EF4-FFF2-40B4-BE49-F238E27FC236}">
              <a16:creationId xmlns:a16="http://schemas.microsoft.com/office/drawing/2014/main" id="{A6FCD202-39FE-403E-5183-EBC2380ADA81}"/>
            </a:ext>
          </a:extLst>
        </xdr:cNvPr>
        <xdr:cNvPicPr>
          <a:picLocks noChangeAspect="1"/>
        </xdr:cNvPicPr>
      </xdr:nvPicPr>
      <xdr:blipFill>
        <a:blip xmlns:r="http://schemas.openxmlformats.org/officeDocument/2006/relationships" r:embed="rId8"/>
        <a:stretch>
          <a:fillRect/>
        </a:stretch>
      </xdr:blipFill>
      <xdr:spPr>
        <a:xfrm>
          <a:off x="0" y="27689176"/>
          <a:ext cx="4467225" cy="3652654"/>
        </a:xfrm>
        <a:prstGeom prst="rect">
          <a:avLst/>
        </a:prstGeom>
      </xdr:spPr>
    </xdr:pic>
    <xdr:clientData/>
  </xdr:twoCellAnchor>
  <xdr:twoCellAnchor editAs="oneCell">
    <xdr:from>
      <xdr:col>0</xdr:col>
      <xdr:colOff>0</xdr:colOff>
      <xdr:row>194</xdr:row>
      <xdr:rowOff>85725</xdr:rowOff>
    </xdr:from>
    <xdr:to>
      <xdr:col>5</xdr:col>
      <xdr:colOff>18554</xdr:colOff>
      <xdr:row>212</xdr:row>
      <xdr:rowOff>169128</xdr:rowOff>
    </xdr:to>
    <xdr:pic>
      <xdr:nvPicPr>
        <xdr:cNvPr id="10" name="Image 9">
          <a:extLst>
            <a:ext uri="{FF2B5EF4-FFF2-40B4-BE49-F238E27FC236}">
              <a16:creationId xmlns:a16="http://schemas.microsoft.com/office/drawing/2014/main" id="{615C0837-1EEC-60A6-59B7-F3038F8F0C6E}"/>
            </a:ext>
          </a:extLst>
        </xdr:cNvPr>
        <xdr:cNvPicPr>
          <a:picLocks noChangeAspect="1"/>
        </xdr:cNvPicPr>
      </xdr:nvPicPr>
      <xdr:blipFill>
        <a:blip xmlns:r="http://schemas.openxmlformats.org/officeDocument/2006/relationships" r:embed="rId9"/>
        <a:stretch>
          <a:fillRect/>
        </a:stretch>
      </xdr:blipFill>
      <xdr:spPr>
        <a:xfrm>
          <a:off x="0" y="35194875"/>
          <a:ext cx="3975239" cy="3333333"/>
        </a:xfrm>
        <a:prstGeom prst="rect">
          <a:avLst/>
        </a:prstGeom>
      </xdr:spPr>
    </xdr:pic>
    <xdr:clientData/>
  </xdr:twoCellAnchor>
  <xdr:twoCellAnchor editAs="oneCell">
    <xdr:from>
      <xdr:col>0</xdr:col>
      <xdr:colOff>0</xdr:colOff>
      <xdr:row>213</xdr:row>
      <xdr:rowOff>0</xdr:rowOff>
    </xdr:from>
    <xdr:to>
      <xdr:col>4</xdr:col>
      <xdr:colOff>628175</xdr:colOff>
      <xdr:row>231</xdr:row>
      <xdr:rowOff>16737</xdr:rowOff>
    </xdr:to>
    <xdr:pic>
      <xdr:nvPicPr>
        <xdr:cNvPr id="11" name="Image 10">
          <a:extLst>
            <a:ext uri="{FF2B5EF4-FFF2-40B4-BE49-F238E27FC236}">
              <a16:creationId xmlns:a16="http://schemas.microsoft.com/office/drawing/2014/main" id="{BB59EC04-1C71-54CE-150A-ADD8A26CEC6B}"/>
            </a:ext>
          </a:extLst>
        </xdr:cNvPr>
        <xdr:cNvPicPr>
          <a:picLocks noChangeAspect="1"/>
        </xdr:cNvPicPr>
      </xdr:nvPicPr>
      <xdr:blipFill>
        <a:blip xmlns:r="http://schemas.openxmlformats.org/officeDocument/2006/relationships" r:embed="rId10"/>
        <a:stretch>
          <a:fillRect/>
        </a:stretch>
      </xdr:blipFill>
      <xdr:spPr>
        <a:xfrm>
          <a:off x="0" y="38728650"/>
          <a:ext cx="3800000" cy="3266667"/>
        </a:xfrm>
        <a:prstGeom prst="rect">
          <a:avLst/>
        </a:prstGeom>
      </xdr:spPr>
    </xdr:pic>
    <xdr:clientData/>
  </xdr:twoCellAnchor>
  <xdr:twoCellAnchor editAs="oneCell">
    <xdr:from>
      <xdr:col>0</xdr:col>
      <xdr:colOff>0</xdr:colOff>
      <xdr:row>176</xdr:row>
      <xdr:rowOff>0</xdr:rowOff>
    </xdr:from>
    <xdr:to>
      <xdr:col>4</xdr:col>
      <xdr:colOff>532938</xdr:colOff>
      <xdr:row>194</xdr:row>
      <xdr:rowOff>18639</xdr:rowOff>
    </xdr:to>
    <xdr:pic>
      <xdr:nvPicPr>
        <xdr:cNvPr id="12" name="Image 11">
          <a:extLst>
            <a:ext uri="{FF2B5EF4-FFF2-40B4-BE49-F238E27FC236}">
              <a16:creationId xmlns:a16="http://schemas.microsoft.com/office/drawing/2014/main" id="{38A924A3-9AD1-A339-495D-CC022873E07A}"/>
            </a:ext>
          </a:extLst>
        </xdr:cNvPr>
        <xdr:cNvPicPr>
          <a:picLocks noChangeAspect="1"/>
        </xdr:cNvPicPr>
      </xdr:nvPicPr>
      <xdr:blipFill>
        <a:blip xmlns:r="http://schemas.openxmlformats.org/officeDocument/2006/relationships" r:embed="rId11"/>
        <a:stretch>
          <a:fillRect/>
        </a:stretch>
      </xdr:blipFill>
      <xdr:spPr>
        <a:xfrm>
          <a:off x="0" y="31851600"/>
          <a:ext cx="3695238" cy="3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91440</xdr:colOff>
      <xdr:row>29</xdr:row>
      <xdr:rowOff>168194</xdr:rowOff>
    </xdr:to>
    <xdr:pic>
      <xdr:nvPicPr>
        <xdr:cNvPr id="2" name="Image 1">
          <a:extLst>
            <a:ext uri="{FF2B5EF4-FFF2-40B4-BE49-F238E27FC236}">
              <a16:creationId xmlns:a16="http://schemas.microsoft.com/office/drawing/2014/main" id="{A119127B-3181-4985-E5DF-B98035C89643}"/>
            </a:ext>
          </a:extLst>
        </xdr:cNvPr>
        <xdr:cNvPicPr>
          <a:picLocks noChangeAspect="1"/>
        </xdr:cNvPicPr>
      </xdr:nvPicPr>
      <xdr:blipFill>
        <a:blip xmlns:r="http://schemas.openxmlformats.org/officeDocument/2006/relationships" r:embed="rId1"/>
        <a:stretch>
          <a:fillRect/>
        </a:stretch>
      </xdr:blipFill>
      <xdr:spPr>
        <a:xfrm>
          <a:off x="0" y="1"/>
          <a:ext cx="7210425" cy="54126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Monniot Caroline" id="{A1908BAE-5BFF-415E-A18F-A9010CCBA835}" userId="S::caroline.monniot@idele.fr::4f064a08-42a7-404f-9c0a-26110a908136"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1" dT="2022-03-18T17:57:56.77" personId="{A1908BAE-5BFF-415E-A18F-A9010CCBA835}" id="{74A5A5B0-3BDA-41EB-B5F0-56F1191C85A5}">
    <text>bulletin conjoncture Agreste</text>
  </threadedComment>
</ThreadedComment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9BF4F-CEB3-4174-A509-8D4691DC677A}">
  <sheetPr>
    <tabColor rgb="FFD7D200"/>
  </sheetPr>
  <dimension ref="A1:AMH14"/>
  <sheetViews>
    <sheetView tabSelected="1" workbookViewId="0">
      <selection activeCell="B13" sqref="B13"/>
    </sheetView>
  </sheetViews>
  <sheetFormatPr baseColWidth="10" defaultColWidth="11.44140625" defaultRowHeight="14.4"/>
  <cols>
    <col min="1" max="1" width="21.33203125" style="163" customWidth="1"/>
    <col min="2" max="16384" width="11.44140625" style="163"/>
  </cols>
  <sheetData>
    <row r="1" spans="1:1022" s="159" customFormat="1" ht="16.2" customHeight="1">
      <c r="A1" s="158" t="s">
        <v>665</v>
      </c>
    </row>
    <row r="2" spans="1:1022" ht="15.6">
      <c r="A2" s="160"/>
      <c r="B2" s="161"/>
      <c r="C2" s="161"/>
      <c r="D2" s="161"/>
      <c r="E2" s="161"/>
      <c r="F2" s="161"/>
      <c r="G2" s="161"/>
      <c r="H2" s="162"/>
      <c r="I2" s="161"/>
      <c r="J2" s="161"/>
      <c r="K2" s="161"/>
      <c r="L2" s="161"/>
      <c r="M2" s="161"/>
      <c r="N2" s="162"/>
      <c r="O2" s="162"/>
      <c r="P2" s="162"/>
      <c r="Q2" s="162"/>
      <c r="R2" s="162"/>
      <c r="S2" s="162"/>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c r="GF2" s="161"/>
      <c r="GG2" s="161"/>
      <c r="GH2" s="161"/>
      <c r="GI2" s="161"/>
      <c r="GJ2" s="161"/>
      <c r="GK2" s="161"/>
      <c r="GL2" s="161"/>
      <c r="GM2" s="161"/>
      <c r="GN2" s="161"/>
      <c r="GO2" s="161"/>
      <c r="GP2" s="161"/>
      <c r="GQ2" s="161"/>
      <c r="GR2" s="161"/>
      <c r="GS2" s="161"/>
      <c r="GT2" s="161"/>
      <c r="GU2" s="161"/>
      <c r="GV2" s="161"/>
      <c r="GW2" s="161"/>
      <c r="GX2" s="161"/>
      <c r="GY2" s="161"/>
      <c r="GZ2" s="161"/>
      <c r="HA2" s="161"/>
      <c r="HB2" s="161"/>
      <c r="HC2" s="161"/>
      <c r="HD2" s="161"/>
      <c r="HE2" s="161"/>
      <c r="HF2" s="161"/>
      <c r="HG2" s="161"/>
      <c r="HH2" s="161"/>
      <c r="HI2" s="161"/>
      <c r="HJ2" s="161"/>
      <c r="HK2" s="161"/>
      <c r="HL2" s="161"/>
      <c r="HM2" s="161"/>
      <c r="HN2" s="161"/>
      <c r="HO2" s="161"/>
      <c r="HP2" s="161"/>
      <c r="HQ2" s="161"/>
      <c r="HR2" s="161"/>
      <c r="HS2" s="161"/>
      <c r="HT2" s="161"/>
      <c r="HU2" s="161"/>
      <c r="HV2" s="161"/>
      <c r="HW2" s="161"/>
      <c r="HX2" s="161"/>
      <c r="HY2" s="161"/>
      <c r="HZ2" s="161"/>
      <c r="IA2" s="161"/>
      <c r="IB2" s="161"/>
      <c r="IC2" s="161"/>
      <c r="ID2" s="161"/>
      <c r="IE2" s="161"/>
      <c r="IF2" s="161"/>
      <c r="IG2" s="161"/>
      <c r="IH2" s="161"/>
      <c r="II2" s="161"/>
      <c r="IJ2" s="161"/>
      <c r="IK2" s="161"/>
      <c r="IL2" s="161"/>
      <c r="IM2" s="161"/>
      <c r="IN2" s="161"/>
      <c r="IO2" s="161"/>
      <c r="IP2" s="161"/>
      <c r="IQ2" s="161"/>
      <c r="IR2" s="161"/>
      <c r="IS2" s="161"/>
      <c r="IT2" s="161"/>
      <c r="IU2" s="161"/>
      <c r="IV2" s="161"/>
      <c r="IW2" s="161"/>
      <c r="IX2" s="161"/>
      <c r="IY2" s="161"/>
      <c r="IZ2" s="161"/>
      <c r="JA2" s="161"/>
      <c r="JB2" s="161"/>
      <c r="JC2" s="161"/>
      <c r="JD2" s="161"/>
      <c r="JE2" s="161"/>
      <c r="JF2" s="161"/>
      <c r="JG2" s="161"/>
      <c r="JH2" s="161"/>
      <c r="JI2" s="161"/>
      <c r="JJ2" s="161"/>
      <c r="JK2" s="161"/>
      <c r="JL2" s="161"/>
      <c r="JM2" s="161"/>
      <c r="JN2" s="161"/>
      <c r="JO2" s="161"/>
      <c r="JP2" s="161"/>
      <c r="JQ2" s="161"/>
      <c r="JR2" s="161"/>
      <c r="JS2" s="161"/>
      <c r="JT2" s="161"/>
      <c r="JU2" s="161"/>
      <c r="JV2" s="161"/>
      <c r="JW2" s="161"/>
      <c r="JX2" s="161"/>
      <c r="JY2" s="161"/>
      <c r="JZ2" s="161"/>
      <c r="KA2" s="161"/>
      <c r="KB2" s="161"/>
      <c r="KC2" s="161"/>
      <c r="KD2" s="161"/>
      <c r="KE2" s="161"/>
      <c r="KF2" s="161"/>
      <c r="KG2" s="161"/>
      <c r="KH2" s="161"/>
      <c r="KI2" s="161"/>
      <c r="KJ2" s="161"/>
      <c r="KK2" s="161"/>
      <c r="KL2" s="161"/>
      <c r="KM2" s="161"/>
      <c r="KN2" s="161"/>
      <c r="KO2" s="161"/>
      <c r="KP2" s="161"/>
      <c r="KQ2" s="161"/>
      <c r="KR2" s="161"/>
      <c r="KS2" s="161"/>
      <c r="KT2" s="161"/>
      <c r="KU2" s="161"/>
      <c r="KV2" s="161"/>
      <c r="KW2" s="161"/>
      <c r="KX2" s="161"/>
      <c r="KY2" s="161"/>
      <c r="KZ2" s="161"/>
      <c r="LA2" s="161"/>
      <c r="LB2" s="161"/>
      <c r="LC2" s="161"/>
      <c r="LD2" s="161"/>
      <c r="LE2" s="161"/>
      <c r="LF2" s="161"/>
      <c r="LG2" s="161"/>
      <c r="LH2" s="161"/>
      <c r="LI2" s="161"/>
      <c r="LJ2" s="161"/>
      <c r="LK2" s="161"/>
      <c r="LL2" s="161"/>
      <c r="LM2" s="161"/>
      <c r="LN2" s="161"/>
      <c r="LO2" s="161"/>
      <c r="LP2" s="161"/>
      <c r="LQ2" s="161"/>
      <c r="LR2" s="161"/>
      <c r="LS2" s="161"/>
      <c r="LT2" s="161"/>
      <c r="LU2" s="161"/>
      <c r="LV2" s="161"/>
      <c r="LW2" s="161"/>
      <c r="LX2" s="161"/>
      <c r="LY2" s="161"/>
      <c r="LZ2" s="161"/>
      <c r="MA2" s="161"/>
      <c r="MB2" s="161"/>
      <c r="MC2" s="161"/>
      <c r="MD2" s="161"/>
      <c r="ME2" s="161"/>
      <c r="MF2" s="161"/>
      <c r="MG2" s="161"/>
      <c r="MH2" s="161"/>
      <c r="MI2" s="161"/>
      <c r="MJ2" s="161"/>
      <c r="MK2" s="161"/>
      <c r="ML2" s="161"/>
      <c r="MM2" s="161"/>
      <c r="MN2" s="161"/>
      <c r="MO2" s="161"/>
      <c r="MP2" s="161"/>
      <c r="MQ2" s="161"/>
      <c r="MR2" s="161"/>
      <c r="MS2" s="161"/>
      <c r="MT2" s="161"/>
      <c r="MU2" s="161"/>
      <c r="MV2" s="161"/>
      <c r="MW2" s="161"/>
      <c r="MX2" s="161"/>
      <c r="MY2" s="161"/>
      <c r="MZ2" s="161"/>
      <c r="NA2" s="161"/>
      <c r="NB2" s="161"/>
      <c r="NC2" s="161"/>
      <c r="ND2" s="161"/>
      <c r="NE2" s="161"/>
      <c r="NF2" s="161"/>
      <c r="NG2" s="161"/>
      <c r="NH2" s="161"/>
      <c r="NI2" s="161"/>
      <c r="NJ2" s="161"/>
      <c r="NK2" s="161"/>
      <c r="NL2" s="161"/>
      <c r="NM2" s="161"/>
      <c r="NN2" s="161"/>
      <c r="NO2" s="161"/>
      <c r="NP2" s="161"/>
      <c r="NQ2" s="161"/>
      <c r="NR2" s="161"/>
      <c r="NS2" s="161"/>
      <c r="NT2" s="161"/>
      <c r="NU2" s="161"/>
      <c r="NV2" s="161"/>
      <c r="NW2" s="161"/>
      <c r="NX2" s="161"/>
      <c r="NY2" s="161"/>
      <c r="NZ2" s="161"/>
      <c r="OA2" s="161"/>
      <c r="OB2" s="161"/>
      <c r="OC2" s="161"/>
      <c r="OD2" s="161"/>
      <c r="OE2" s="161"/>
      <c r="OF2" s="161"/>
      <c r="OG2" s="161"/>
      <c r="OH2" s="161"/>
      <c r="OI2" s="161"/>
      <c r="OJ2" s="161"/>
      <c r="OK2" s="161"/>
      <c r="OL2" s="161"/>
      <c r="OM2" s="161"/>
      <c r="ON2" s="161"/>
      <c r="OO2" s="161"/>
      <c r="OP2" s="161"/>
      <c r="OQ2" s="161"/>
      <c r="OR2" s="161"/>
      <c r="OS2" s="161"/>
      <c r="OT2" s="161"/>
      <c r="OU2" s="161"/>
      <c r="OV2" s="161"/>
      <c r="OW2" s="161"/>
      <c r="OX2" s="161"/>
      <c r="OY2" s="161"/>
      <c r="OZ2" s="161"/>
      <c r="PA2" s="161"/>
      <c r="PB2" s="161"/>
      <c r="PC2" s="161"/>
      <c r="PD2" s="161"/>
      <c r="PE2" s="161"/>
      <c r="PF2" s="161"/>
      <c r="PG2" s="161"/>
      <c r="PH2" s="161"/>
      <c r="PI2" s="161"/>
      <c r="PJ2" s="161"/>
      <c r="PK2" s="161"/>
      <c r="PL2" s="161"/>
      <c r="PM2" s="161"/>
      <c r="PN2" s="161"/>
      <c r="PO2" s="161"/>
      <c r="PP2" s="161"/>
      <c r="PQ2" s="161"/>
      <c r="PR2" s="161"/>
      <c r="PS2" s="161"/>
      <c r="PT2" s="161"/>
      <c r="PU2" s="161"/>
      <c r="PV2" s="161"/>
      <c r="PW2" s="161"/>
      <c r="PX2" s="161"/>
      <c r="PY2" s="161"/>
      <c r="PZ2" s="161"/>
      <c r="QA2" s="161"/>
      <c r="QB2" s="161"/>
      <c r="QC2" s="161"/>
      <c r="QD2" s="161"/>
      <c r="QE2" s="161"/>
      <c r="QF2" s="161"/>
      <c r="QG2" s="161"/>
      <c r="QH2" s="161"/>
      <c r="QI2" s="161"/>
      <c r="QJ2" s="161"/>
      <c r="QK2" s="161"/>
      <c r="QL2" s="161"/>
      <c r="QM2" s="161"/>
      <c r="QN2" s="161"/>
      <c r="QO2" s="161"/>
      <c r="QP2" s="161"/>
      <c r="QQ2" s="161"/>
      <c r="QR2" s="161"/>
      <c r="QS2" s="161"/>
      <c r="QT2" s="161"/>
      <c r="QU2" s="161"/>
      <c r="QV2" s="161"/>
      <c r="QW2" s="161"/>
      <c r="QX2" s="161"/>
      <c r="QY2" s="161"/>
      <c r="QZ2" s="161"/>
      <c r="RA2" s="161"/>
      <c r="RB2" s="161"/>
      <c r="RC2" s="161"/>
      <c r="RD2" s="161"/>
      <c r="RE2" s="161"/>
      <c r="RF2" s="161"/>
      <c r="RG2" s="161"/>
      <c r="RH2" s="161"/>
      <c r="RI2" s="161"/>
      <c r="RJ2" s="161"/>
      <c r="RK2" s="161"/>
      <c r="RL2" s="161"/>
      <c r="RM2" s="161"/>
      <c r="RN2" s="161"/>
      <c r="RO2" s="161"/>
      <c r="RP2" s="161"/>
      <c r="RQ2" s="161"/>
      <c r="RR2" s="161"/>
      <c r="RS2" s="161"/>
      <c r="RT2" s="161"/>
      <c r="RU2" s="161"/>
      <c r="RV2" s="161"/>
      <c r="RW2" s="161"/>
      <c r="RX2" s="161"/>
      <c r="RY2" s="161"/>
      <c r="RZ2" s="161"/>
      <c r="SA2" s="161"/>
      <c r="SB2" s="161"/>
      <c r="SC2" s="161"/>
      <c r="SD2" s="161"/>
      <c r="SE2" s="161"/>
      <c r="SF2" s="161"/>
      <c r="SG2" s="161"/>
      <c r="SH2" s="161"/>
      <c r="SI2" s="161"/>
      <c r="SJ2" s="161"/>
      <c r="SK2" s="161"/>
      <c r="SL2" s="161"/>
      <c r="SM2" s="161"/>
      <c r="SN2" s="161"/>
      <c r="SO2" s="161"/>
      <c r="SP2" s="161"/>
      <c r="SQ2" s="161"/>
      <c r="SR2" s="161"/>
      <c r="SS2" s="161"/>
      <c r="ST2" s="161"/>
      <c r="SU2" s="161"/>
      <c r="SV2" s="161"/>
      <c r="SW2" s="161"/>
      <c r="SX2" s="161"/>
      <c r="SY2" s="161"/>
      <c r="SZ2" s="161"/>
      <c r="TA2" s="161"/>
      <c r="TB2" s="161"/>
      <c r="TC2" s="161"/>
      <c r="TD2" s="161"/>
      <c r="TE2" s="161"/>
      <c r="TF2" s="161"/>
      <c r="TG2" s="161"/>
      <c r="TH2" s="161"/>
      <c r="TI2" s="161"/>
      <c r="TJ2" s="161"/>
      <c r="TK2" s="161"/>
      <c r="TL2" s="161"/>
      <c r="TM2" s="161"/>
      <c r="TN2" s="161"/>
      <c r="TO2" s="161"/>
      <c r="TP2" s="161"/>
      <c r="TQ2" s="161"/>
      <c r="TR2" s="161"/>
      <c r="TS2" s="161"/>
      <c r="TT2" s="161"/>
      <c r="TU2" s="161"/>
      <c r="TV2" s="161"/>
      <c r="TW2" s="161"/>
      <c r="TX2" s="161"/>
      <c r="TY2" s="161"/>
      <c r="TZ2" s="161"/>
      <c r="UA2" s="161"/>
      <c r="UB2" s="161"/>
      <c r="UC2" s="161"/>
      <c r="UD2" s="161"/>
      <c r="UE2" s="161"/>
      <c r="UF2" s="161"/>
      <c r="UG2" s="161"/>
      <c r="UH2" s="161"/>
      <c r="UI2" s="161"/>
      <c r="UJ2" s="161"/>
      <c r="UK2" s="161"/>
      <c r="UL2" s="161"/>
      <c r="UM2" s="161"/>
      <c r="UN2" s="161"/>
      <c r="UO2" s="161"/>
      <c r="UP2" s="161"/>
      <c r="UQ2" s="161"/>
      <c r="UR2" s="161"/>
      <c r="US2" s="161"/>
      <c r="UT2" s="161"/>
      <c r="UU2" s="161"/>
      <c r="UV2" s="161"/>
      <c r="UW2" s="161"/>
      <c r="UX2" s="161"/>
      <c r="UY2" s="161"/>
      <c r="UZ2" s="161"/>
      <c r="VA2" s="161"/>
      <c r="VB2" s="161"/>
      <c r="VC2" s="161"/>
      <c r="VD2" s="161"/>
      <c r="VE2" s="161"/>
      <c r="VF2" s="161"/>
      <c r="VG2" s="161"/>
      <c r="VH2" s="161"/>
      <c r="VI2" s="161"/>
      <c r="VJ2" s="161"/>
      <c r="VK2" s="161"/>
      <c r="VL2" s="161"/>
      <c r="VM2" s="161"/>
      <c r="VN2" s="161"/>
      <c r="VO2" s="161"/>
      <c r="VP2" s="161"/>
      <c r="VQ2" s="161"/>
      <c r="VR2" s="161"/>
      <c r="VS2" s="161"/>
      <c r="VT2" s="161"/>
      <c r="VU2" s="161"/>
      <c r="VV2" s="161"/>
      <c r="VW2" s="161"/>
      <c r="VX2" s="161"/>
      <c r="VY2" s="161"/>
      <c r="VZ2" s="161"/>
      <c r="WA2" s="161"/>
      <c r="WB2" s="161"/>
      <c r="WC2" s="161"/>
      <c r="WD2" s="161"/>
      <c r="WE2" s="161"/>
      <c r="WF2" s="161"/>
      <c r="WG2" s="161"/>
      <c r="WH2" s="161"/>
      <c r="WI2" s="161"/>
      <c r="WJ2" s="161"/>
      <c r="WK2" s="161"/>
      <c r="WL2" s="161"/>
      <c r="WM2" s="161"/>
      <c r="WN2" s="161"/>
      <c r="WO2" s="161"/>
      <c r="WP2" s="161"/>
      <c r="WQ2" s="161"/>
      <c r="WR2" s="161"/>
      <c r="WS2" s="161"/>
      <c r="WT2" s="161"/>
      <c r="WU2" s="161"/>
      <c r="WV2" s="161"/>
      <c r="WW2" s="161"/>
      <c r="WX2" s="161"/>
      <c r="WY2" s="161"/>
      <c r="WZ2" s="161"/>
      <c r="XA2" s="161"/>
      <c r="XB2" s="161"/>
      <c r="XC2" s="161"/>
      <c r="XD2" s="161"/>
      <c r="XE2" s="161"/>
      <c r="XF2" s="161"/>
      <c r="XG2" s="161"/>
      <c r="XH2" s="161"/>
      <c r="XI2" s="161"/>
      <c r="XJ2" s="161"/>
      <c r="XK2" s="161"/>
      <c r="XL2" s="161"/>
      <c r="XM2" s="161"/>
      <c r="XN2" s="161"/>
      <c r="XO2" s="161"/>
      <c r="XP2" s="161"/>
      <c r="XQ2" s="161"/>
      <c r="XR2" s="161"/>
      <c r="XS2" s="161"/>
      <c r="XT2" s="161"/>
      <c r="XU2" s="161"/>
      <c r="XV2" s="161"/>
      <c r="XW2" s="161"/>
      <c r="XX2" s="161"/>
      <c r="XY2" s="161"/>
      <c r="XZ2" s="161"/>
      <c r="YA2" s="161"/>
      <c r="YB2" s="161"/>
      <c r="YC2" s="161"/>
      <c r="YD2" s="161"/>
      <c r="YE2" s="161"/>
      <c r="YF2" s="161"/>
      <c r="YG2" s="161"/>
      <c r="YH2" s="161"/>
      <c r="YI2" s="161"/>
      <c r="YJ2" s="161"/>
      <c r="YK2" s="161"/>
      <c r="YL2" s="161"/>
      <c r="YM2" s="161"/>
      <c r="YN2" s="161"/>
      <c r="YO2" s="161"/>
      <c r="YP2" s="161"/>
      <c r="YQ2" s="161"/>
      <c r="YR2" s="161"/>
      <c r="YS2" s="161"/>
      <c r="YT2" s="161"/>
      <c r="YU2" s="161"/>
      <c r="YV2" s="161"/>
      <c r="YW2" s="161"/>
      <c r="YX2" s="161"/>
      <c r="YY2" s="161"/>
      <c r="YZ2" s="161"/>
      <c r="ZA2" s="161"/>
      <c r="ZB2" s="161"/>
      <c r="ZC2" s="161"/>
      <c r="ZD2" s="161"/>
      <c r="ZE2" s="161"/>
      <c r="ZF2" s="161"/>
      <c r="ZG2" s="161"/>
      <c r="ZH2" s="161"/>
      <c r="ZI2" s="161"/>
      <c r="ZJ2" s="161"/>
      <c r="ZK2" s="161"/>
      <c r="ZL2" s="161"/>
      <c r="ZM2" s="161"/>
      <c r="ZN2" s="161"/>
      <c r="ZO2" s="161"/>
      <c r="ZP2" s="161"/>
      <c r="ZQ2" s="161"/>
      <c r="ZR2" s="161"/>
      <c r="ZS2" s="161"/>
      <c r="ZT2" s="161"/>
      <c r="ZU2" s="161"/>
      <c r="ZV2" s="161"/>
      <c r="ZW2" s="161"/>
      <c r="ZX2" s="161"/>
      <c r="ZY2" s="161"/>
      <c r="ZZ2" s="161"/>
      <c r="AAA2" s="161"/>
      <c r="AAB2" s="161"/>
      <c r="AAC2" s="161"/>
      <c r="AAD2" s="161"/>
      <c r="AAE2" s="161"/>
      <c r="AAF2" s="161"/>
      <c r="AAG2" s="161"/>
      <c r="AAH2" s="161"/>
      <c r="AAI2" s="161"/>
      <c r="AAJ2" s="161"/>
      <c r="AAK2" s="161"/>
      <c r="AAL2" s="161"/>
      <c r="AAM2" s="161"/>
      <c r="AAN2" s="161"/>
      <c r="AAO2" s="161"/>
      <c r="AAP2" s="161"/>
      <c r="AAQ2" s="161"/>
      <c r="AAR2" s="161"/>
      <c r="AAS2" s="161"/>
      <c r="AAT2" s="161"/>
      <c r="AAU2" s="161"/>
      <c r="AAV2" s="161"/>
      <c r="AAW2" s="161"/>
      <c r="AAX2" s="161"/>
      <c r="AAY2" s="161"/>
      <c r="AAZ2" s="161"/>
      <c r="ABA2" s="161"/>
      <c r="ABB2" s="161"/>
      <c r="ABC2" s="161"/>
      <c r="ABD2" s="161"/>
      <c r="ABE2" s="161"/>
      <c r="ABF2" s="161"/>
      <c r="ABG2" s="161"/>
      <c r="ABH2" s="161"/>
      <c r="ABI2" s="161"/>
      <c r="ABJ2" s="161"/>
      <c r="ABK2" s="161"/>
      <c r="ABL2" s="161"/>
      <c r="ABM2" s="161"/>
      <c r="ABN2" s="161"/>
      <c r="ABO2" s="161"/>
      <c r="ABP2" s="161"/>
      <c r="ABQ2" s="161"/>
      <c r="ABR2" s="161"/>
      <c r="ABS2" s="161"/>
      <c r="ABT2" s="161"/>
      <c r="ABU2" s="161"/>
      <c r="ABV2" s="161"/>
      <c r="ABW2" s="161"/>
      <c r="ABX2" s="161"/>
      <c r="ABY2" s="161"/>
      <c r="ABZ2" s="161"/>
      <c r="ACA2" s="161"/>
      <c r="ACB2" s="161"/>
      <c r="ACC2" s="161"/>
      <c r="ACD2" s="161"/>
      <c r="ACE2" s="161"/>
      <c r="ACF2" s="161"/>
      <c r="ACG2" s="161"/>
      <c r="ACH2" s="161"/>
      <c r="ACI2" s="161"/>
      <c r="ACJ2" s="161"/>
      <c r="ACK2" s="161"/>
      <c r="ACL2" s="161"/>
      <c r="ACM2" s="161"/>
      <c r="ACN2" s="161"/>
      <c r="ACO2" s="161"/>
      <c r="ACP2" s="161"/>
      <c r="ACQ2" s="161"/>
      <c r="ACR2" s="161"/>
      <c r="ACS2" s="161"/>
      <c r="ACT2" s="161"/>
      <c r="ACU2" s="161"/>
      <c r="ACV2" s="161"/>
      <c r="ACW2" s="161"/>
      <c r="ACX2" s="161"/>
      <c r="ACY2" s="161"/>
      <c r="ACZ2" s="161"/>
      <c r="ADA2" s="161"/>
      <c r="ADB2" s="161"/>
      <c r="ADC2" s="161"/>
      <c r="ADD2" s="161"/>
      <c r="ADE2" s="161"/>
      <c r="ADF2" s="161"/>
      <c r="ADG2" s="161"/>
      <c r="ADH2" s="161"/>
      <c r="ADI2" s="161"/>
      <c r="ADJ2" s="161"/>
      <c r="ADK2" s="161"/>
      <c r="ADL2" s="161"/>
      <c r="ADM2" s="161"/>
      <c r="ADN2" s="161"/>
      <c r="ADO2" s="161"/>
      <c r="ADP2" s="161"/>
      <c r="ADQ2" s="161"/>
      <c r="ADR2" s="161"/>
      <c r="ADS2" s="161"/>
      <c r="ADT2" s="161"/>
      <c r="ADU2" s="161"/>
      <c r="ADV2" s="161"/>
      <c r="ADW2" s="161"/>
      <c r="ADX2" s="161"/>
      <c r="ADY2" s="161"/>
      <c r="ADZ2" s="161"/>
      <c r="AEA2" s="161"/>
      <c r="AEB2" s="161"/>
      <c r="AEC2" s="161"/>
      <c r="AED2" s="161"/>
      <c r="AEE2" s="161"/>
      <c r="AEF2" s="161"/>
      <c r="AEG2" s="161"/>
      <c r="AEH2" s="161"/>
      <c r="AEI2" s="161"/>
      <c r="AEJ2" s="161"/>
      <c r="AEK2" s="161"/>
      <c r="AEL2" s="161"/>
      <c r="AEM2" s="161"/>
      <c r="AEN2" s="161"/>
      <c r="AEO2" s="161"/>
      <c r="AEP2" s="161"/>
      <c r="AEQ2" s="161"/>
      <c r="AER2" s="161"/>
      <c r="AES2" s="161"/>
      <c r="AET2" s="161"/>
      <c r="AEU2" s="161"/>
      <c r="AEV2" s="161"/>
      <c r="AEW2" s="161"/>
      <c r="AEX2" s="161"/>
      <c r="AEY2" s="161"/>
      <c r="AEZ2" s="161"/>
      <c r="AFA2" s="161"/>
      <c r="AFB2" s="161"/>
      <c r="AFC2" s="161"/>
      <c r="AFD2" s="161"/>
      <c r="AFE2" s="161"/>
      <c r="AFF2" s="161"/>
      <c r="AFG2" s="161"/>
      <c r="AFH2" s="161"/>
      <c r="AFI2" s="161"/>
      <c r="AFJ2" s="161"/>
      <c r="AFK2" s="161"/>
      <c r="AFL2" s="161"/>
      <c r="AFM2" s="161"/>
      <c r="AFN2" s="161"/>
      <c r="AFO2" s="161"/>
      <c r="AFP2" s="161"/>
      <c r="AFQ2" s="161"/>
      <c r="AFR2" s="161"/>
      <c r="AFS2" s="161"/>
      <c r="AFT2" s="161"/>
      <c r="AFU2" s="161"/>
      <c r="AFV2" s="161"/>
      <c r="AFW2" s="161"/>
      <c r="AFX2" s="161"/>
      <c r="AFY2" s="161"/>
      <c r="AFZ2" s="161"/>
      <c r="AGA2" s="161"/>
      <c r="AGB2" s="161"/>
      <c r="AGC2" s="161"/>
      <c r="AGD2" s="161"/>
      <c r="AGE2" s="161"/>
      <c r="AGF2" s="161"/>
      <c r="AGG2" s="161"/>
      <c r="AGH2" s="161"/>
      <c r="AGI2" s="161"/>
      <c r="AGJ2" s="161"/>
      <c r="AGK2" s="161"/>
      <c r="AGL2" s="161"/>
      <c r="AGM2" s="161"/>
      <c r="AGN2" s="161"/>
      <c r="AGO2" s="161"/>
      <c r="AGP2" s="161"/>
      <c r="AGQ2" s="161"/>
      <c r="AGR2" s="161"/>
      <c r="AGS2" s="161"/>
      <c r="AGT2" s="161"/>
      <c r="AGU2" s="161"/>
      <c r="AGV2" s="161"/>
      <c r="AGW2" s="161"/>
      <c r="AGX2" s="161"/>
      <c r="AGY2" s="161"/>
      <c r="AGZ2" s="161"/>
      <c r="AHA2" s="161"/>
      <c r="AHB2" s="161"/>
      <c r="AHC2" s="161"/>
      <c r="AHD2" s="161"/>
      <c r="AHE2" s="161"/>
      <c r="AHF2" s="161"/>
      <c r="AHG2" s="161"/>
      <c r="AHH2" s="161"/>
      <c r="AHI2" s="161"/>
      <c r="AHJ2" s="161"/>
      <c r="AHK2" s="161"/>
      <c r="AHL2" s="161"/>
      <c r="AHM2" s="161"/>
      <c r="AHN2" s="161"/>
      <c r="AHO2" s="161"/>
      <c r="AHP2" s="161"/>
      <c r="AHQ2" s="161"/>
      <c r="AHR2" s="161"/>
      <c r="AHS2" s="161"/>
      <c r="AHT2" s="161"/>
      <c r="AHU2" s="161"/>
      <c r="AHV2" s="161"/>
      <c r="AHW2" s="161"/>
      <c r="AHX2" s="161"/>
      <c r="AHY2" s="161"/>
      <c r="AHZ2" s="161"/>
      <c r="AIA2" s="161"/>
      <c r="AIB2" s="161"/>
      <c r="AIC2" s="161"/>
      <c r="AID2" s="161"/>
      <c r="AIE2" s="161"/>
      <c r="AIF2" s="161"/>
      <c r="AIG2" s="161"/>
      <c r="AIH2" s="161"/>
      <c r="AII2" s="161"/>
      <c r="AIJ2" s="161"/>
      <c r="AIK2" s="161"/>
      <c r="AIL2" s="161"/>
      <c r="AIM2" s="161"/>
      <c r="AIN2" s="161"/>
      <c r="AIO2" s="161"/>
      <c r="AIP2" s="161"/>
      <c r="AIQ2" s="161"/>
      <c r="AIR2" s="161"/>
      <c r="AIS2" s="161"/>
      <c r="AIT2" s="161"/>
      <c r="AIU2" s="161"/>
      <c r="AIV2" s="161"/>
      <c r="AIW2" s="161"/>
      <c r="AIX2" s="161"/>
      <c r="AIY2" s="161"/>
      <c r="AIZ2" s="161"/>
      <c r="AJA2" s="161"/>
      <c r="AJB2" s="161"/>
      <c r="AJC2" s="161"/>
      <c r="AJD2" s="161"/>
      <c r="AJE2" s="161"/>
      <c r="AJF2" s="161"/>
      <c r="AJG2" s="161"/>
      <c r="AJH2" s="161"/>
      <c r="AJI2" s="161"/>
      <c r="AJJ2" s="161"/>
      <c r="AJK2" s="161"/>
      <c r="AJL2" s="161"/>
      <c r="AJM2" s="161"/>
      <c r="AJN2" s="161"/>
      <c r="AJO2" s="161"/>
      <c r="AJP2" s="161"/>
      <c r="AJQ2" s="161"/>
      <c r="AJR2" s="161"/>
      <c r="AJS2" s="161"/>
      <c r="AJT2" s="161"/>
      <c r="AJU2" s="161"/>
      <c r="AJV2" s="161"/>
      <c r="AJW2" s="161"/>
      <c r="AJX2" s="161"/>
      <c r="AJY2" s="161"/>
      <c r="AJZ2" s="161"/>
      <c r="AKA2" s="161"/>
      <c r="AKB2" s="161"/>
      <c r="AKC2" s="161"/>
      <c r="AKD2" s="161"/>
      <c r="AKE2" s="161"/>
      <c r="AKF2" s="161"/>
      <c r="AKG2" s="161"/>
      <c r="AKH2" s="161"/>
      <c r="AKI2" s="161"/>
      <c r="AKJ2" s="161"/>
      <c r="AKK2" s="161"/>
      <c r="AKL2" s="161"/>
      <c r="AKM2" s="161"/>
      <c r="AKN2" s="161"/>
      <c r="AKO2" s="161"/>
      <c r="AKP2" s="161"/>
      <c r="AKQ2" s="161"/>
      <c r="AKR2" s="161"/>
      <c r="AKS2" s="161"/>
      <c r="AKT2" s="161"/>
      <c r="AKU2" s="161"/>
      <c r="AKV2" s="161"/>
      <c r="AKW2" s="161"/>
      <c r="AKX2" s="161"/>
      <c r="AKY2" s="161"/>
      <c r="AKZ2" s="161"/>
      <c r="ALA2" s="161"/>
      <c r="ALB2" s="161"/>
      <c r="ALC2" s="161"/>
      <c r="ALD2" s="161"/>
      <c r="ALE2" s="161"/>
      <c r="ALF2" s="161"/>
      <c r="ALG2" s="161"/>
      <c r="ALH2" s="161"/>
      <c r="ALI2" s="161"/>
      <c r="ALJ2" s="161"/>
      <c r="ALK2" s="161"/>
      <c r="ALL2" s="161"/>
      <c r="ALM2" s="161"/>
      <c r="ALN2" s="161"/>
      <c r="ALO2" s="161"/>
      <c r="ALP2" s="161"/>
      <c r="ALQ2" s="161"/>
      <c r="ALR2" s="161"/>
      <c r="ALS2" s="161"/>
      <c r="ALT2" s="161"/>
      <c r="ALU2" s="161"/>
      <c r="ALV2" s="161"/>
      <c r="ALW2" s="161"/>
      <c r="ALX2" s="161"/>
      <c r="ALY2" s="161"/>
      <c r="ALZ2" s="161"/>
      <c r="AMA2" s="161"/>
      <c r="AMB2" s="161"/>
      <c r="AMC2" s="161"/>
      <c r="AMD2" s="161"/>
      <c r="AME2" s="161"/>
      <c r="AMF2" s="161"/>
      <c r="AMG2" s="161"/>
      <c r="AMH2" s="161"/>
    </row>
    <row r="3" spans="1:1022" ht="15.6">
      <c r="A3" s="164" t="s">
        <v>812</v>
      </c>
      <c r="B3" s="161"/>
      <c r="C3" s="161"/>
      <c r="D3" s="161"/>
      <c r="E3" s="161"/>
      <c r="F3" s="161"/>
      <c r="G3" s="161"/>
      <c r="H3" s="162"/>
      <c r="I3" s="161"/>
      <c r="J3" s="161"/>
      <c r="K3" s="161"/>
      <c r="L3" s="161"/>
      <c r="M3" s="161"/>
      <c r="N3" s="162"/>
      <c r="O3" s="162"/>
      <c r="P3" s="162"/>
      <c r="Q3" s="162"/>
      <c r="R3" s="162"/>
      <c r="S3" s="162"/>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c r="JN3" s="161"/>
      <c r="JO3" s="161"/>
      <c r="JP3" s="161"/>
      <c r="JQ3" s="161"/>
      <c r="JR3" s="161"/>
      <c r="JS3" s="161"/>
      <c r="JT3" s="161"/>
      <c r="JU3" s="161"/>
      <c r="JV3" s="161"/>
      <c r="JW3" s="161"/>
      <c r="JX3" s="161"/>
      <c r="JY3" s="161"/>
      <c r="JZ3" s="161"/>
      <c r="KA3" s="161"/>
      <c r="KB3" s="161"/>
      <c r="KC3" s="161"/>
      <c r="KD3" s="161"/>
      <c r="KE3" s="161"/>
      <c r="KF3" s="161"/>
      <c r="KG3" s="161"/>
      <c r="KH3" s="161"/>
      <c r="KI3" s="161"/>
      <c r="KJ3" s="161"/>
      <c r="KK3" s="161"/>
      <c r="KL3" s="161"/>
      <c r="KM3" s="161"/>
      <c r="KN3" s="161"/>
      <c r="KO3" s="161"/>
      <c r="KP3" s="161"/>
      <c r="KQ3" s="161"/>
      <c r="KR3" s="161"/>
      <c r="KS3" s="161"/>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c r="WA3" s="161"/>
      <c r="WB3" s="161"/>
      <c r="WC3" s="161"/>
      <c r="WD3" s="161"/>
      <c r="WE3" s="161"/>
      <c r="WF3" s="161"/>
      <c r="WG3" s="161"/>
      <c r="WH3" s="161"/>
      <c r="WI3" s="161"/>
      <c r="WJ3" s="161"/>
      <c r="WK3" s="161"/>
      <c r="WL3" s="161"/>
      <c r="WM3" s="161"/>
      <c r="WN3" s="161"/>
      <c r="WO3" s="161"/>
      <c r="WP3" s="161"/>
      <c r="WQ3" s="161"/>
      <c r="WR3" s="161"/>
      <c r="WS3" s="161"/>
      <c r="WT3" s="161"/>
      <c r="WU3" s="161"/>
      <c r="WV3" s="161"/>
      <c r="WW3" s="161"/>
      <c r="WX3" s="161"/>
      <c r="WY3" s="161"/>
      <c r="WZ3" s="161"/>
      <c r="XA3" s="161"/>
      <c r="XB3" s="161"/>
      <c r="XC3" s="161"/>
      <c r="XD3" s="161"/>
      <c r="XE3" s="161"/>
      <c r="XF3" s="161"/>
      <c r="XG3" s="161"/>
      <c r="XH3" s="161"/>
      <c r="XI3" s="161"/>
      <c r="XJ3" s="161"/>
      <c r="XK3" s="161"/>
      <c r="XL3" s="161"/>
      <c r="XM3" s="161"/>
      <c r="XN3" s="161"/>
      <c r="XO3" s="161"/>
      <c r="XP3" s="161"/>
      <c r="XQ3" s="161"/>
      <c r="XR3" s="161"/>
      <c r="XS3" s="161"/>
      <c r="XT3" s="161"/>
      <c r="XU3" s="161"/>
      <c r="XV3" s="161"/>
      <c r="XW3" s="161"/>
      <c r="XX3" s="161"/>
      <c r="XY3" s="161"/>
      <c r="XZ3" s="161"/>
      <c r="YA3" s="161"/>
      <c r="YB3" s="161"/>
      <c r="YC3" s="161"/>
      <c r="YD3" s="161"/>
      <c r="YE3" s="161"/>
      <c r="YF3" s="161"/>
      <c r="YG3" s="161"/>
      <c r="YH3" s="161"/>
      <c r="YI3" s="161"/>
      <c r="YJ3" s="161"/>
      <c r="YK3" s="161"/>
      <c r="YL3" s="161"/>
      <c r="YM3" s="161"/>
      <c r="YN3" s="161"/>
      <c r="YO3" s="161"/>
      <c r="YP3" s="161"/>
      <c r="YQ3" s="161"/>
      <c r="YR3" s="161"/>
      <c r="YS3" s="161"/>
      <c r="YT3" s="161"/>
      <c r="YU3" s="161"/>
      <c r="YV3" s="161"/>
      <c r="YW3" s="161"/>
      <c r="YX3" s="161"/>
      <c r="YY3" s="161"/>
      <c r="YZ3" s="161"/>
      <c r="ZA3" s="161"/>
      <c r="ZB3" s="161"/>
      <c r="ZC3" s="161"/>
      <c r="ZD3" s="161"/>
      <c r="ZE3" s="161"/>
      <c r="ZF3" s="161"/>
      <c r="ZG3" s="161"/>
      <c r="ZH3" s="161"/>
      <c r="ZI3" s="161"/>
      <c r="ZJ3" s="161"/>
      <c r="ZK3" s="161"/>
      <c r="ZL3" s="161"/>
      <c r="ZM3" s="161"/>
      <c r="ZN3" s="161"/>
      <c r="ZO3" s="161"/>
      <c r="ZP3" s="161"/>
      <c r="ZQ3" s="161"/>
      <c r="ZR3" s="161"/>
      <c r="ZS3" s="161"/>
      <c r="ZT3" s="161"/>
      <c r="ZU3" s="161"/>
      <c r="ZV3" s="161"/>
      <c r="ZW3" s="161"/>
      <c r="ZX3" s="161"/>
      <c r="ZY3" s="161"/>
      <c r="ZZ3" s="161"/>
      <c r="AAA3" s="161"/>
      <c r="AAB3" s="161"/>
      <c r="AAC3" s="161"/>
      <c r="AAD3" s="161"/>
      <c r="AAE3" s="161"/>
      <c r="AAF3" s="161"/>
      <c r="AAG3" s="161"/>
      <c r="AAH3" s="161"/>
      <c r="AAI3" s="161"/>
      <c r="AAJ3" s="161"/>
      <c r="AAK3" s="161"/>
      <c r="AAL3" s="161"/>
      <c r="AAM3" s="161"/>
      <c r="AAN3" s="161"/>
      <c r="AAO3" s="161"/>
      <c r="AAP3" s="161"/>
      <c r="AAQ3" s="161"/>
      <c r="AAR3" s="161"/>
      <c r="AAS3" s="161"/>
      <c r="AAT3" s="161"/>
      <c r="AAU3" s="161"/>
      <c r="AAV3" s="161"/>
      <c r="AAW3" s="161"/>
      <c r="AAX3" s="161"/>
      <c r="AAY3" s="161"/>
      <c r="AAZ3" s="161"/>
      <c r="ABA3" s="161"/>
      <c r="ABB3" s="161"/>
      <c r="ABC3" s="161"/>
      <c r="ABD3" s="161"/>
      <c r="ABE3" s="161"/>
      <c r="ABF3" s="161"/>
      <c r="ABG3" s="161"/>
      <c r="ABH3" s="161"/>
      <c r="ABI3" s="161"/>
      <c r="ABJ3" s="161"/>
      <c r="ABK3" s="161"/>
      <c r="ABL3" s="161"/>
      <c r="ABM3" s="161"/>
      <c r="ABN3" s="161"/>
      <c r="ABO3" s="161"/>
      <c r="ABP3" s="161"/>
      <c r="ABQ3" s="161"/>
      <c r="ABR3" s="161"/>
      <c r="ABS3" s="161"/>
      <c r="ABT3" s="161"/>
      <c r="ABU3" s="161"/>
      <c r="ABV3" s="161"/>
      <c r="ABW3" s="161"/>
      <c r="ABX3" s="161"/>
      <c r="ABY3" s="161"/>
      <c r="ABZ3" s="161"/>
      <c r="ACA3" s="161"/>
      <c r="ACB3" s="161"/>
      <c r="ACC3" s="161"/>
      <c r="ACD3" s="161"/>
      <c r="ACE3" s="161"/>
      <c r="ACF3" s="161"/>
      <c r="ACG3" s="161"/>
      <c r="ACH3" s="161"/>
      <c r="ACI3" s="161"/>
      <c r="ACJ3" s="161"/>
      <c r="ACK3" s="161"/>
      <c r="ACL3" s="161"/>
      <c r="ACM3" s="161"/>
      <c r="ACN3" s="161"/>
      <c r="ACO3" s="161"/>
      <c r="ACP3" s="161"/>
      <c r="ACQ3" s="161"/>
      <c r="ACR3" s="161"/>
      <c r="ACS3" s="161"/>
      <c r="ACT3" s="161"/>
      <c r="ACU3" s="161"/>
      <c r="ACV3" s="161"/>
      <c r="ACW3" s="161"/>
      <c r="ACX3" s="161"/>
      <c r="ACY3" s="161"/>
      <c r="ACZ3" s="161"/>
      <c r="ADA3" s="161"/>
      <c r="ADB3" s="161"/>
      <c r="ADC3" s="161"/>
      <c r="ADD3" s="161"/>
      <c r="ADE3" s="161"/>
      <c r="ADF3" s="161"/>
      <c r="ADG3" s="161"/>
      <c r="ADH3" s="161"/>
      <c r="ADI3" s="161"/>
      <c r="ADJ3" s="161"/>
      <c r="ADK3" s="161"/>
      <c r="ADL3" s="161"/>
      <c r="ADM3" s="161"/>
      <c r="ADN3" s="161"/>
      <c r="ADO3" s="161"/>
      <c r="ADP3" s="161"/>
      <c r="ADQ3" s="161"/>
      <c r="ADR3" s="161"/>
      <c r="ADS3" s="161"/>
      <c r="ADT3" s="161"/>
      <c r="ADU3" s="161"/>
      <c r="ADV3" s="161"/>
      <c r="ADW3" s="161"/>
      <c r="ADX3" s="161"/>
      <c r="ADY3" s="161"/>
      <c r="ADZ3" s="161"/>
      <c r="AEA3" s="161"/>
      <c r="AEB3" s="161"/>
      <c r="AEC3" s="161"/>
      <c r="AED3" s="161"/>
      <c r="AEE3" s="161"/>
      <c r="AEF3" s="161"/>
      <c r="AEG3" s="161"/>
      <c r="AEH3" s="161"/>
      <c r="AEI3" s="161"/>
      <c r="AEJ3" s="161"/>
      <c r="AEK3" s="161"/>
      <c r="AEL3" s="161"/>
      <c r="AEM3" s="161"/>
      <c r="AEN3" s="161"/>
      <c r="AEO3" s="161"/>
      <c r="AEP3" s="161"/>
      <c r="AEQ3" s="161"/>
      <c r="AER3" s="161"/>
      <c r="AES3" s="161"/>
      <c r="AET3" s="161"/>
      <c r="AEU3" s="161"/>
      <c r="AEV3" s="161"/>
      <c r="AEW3" s="161"/>
      <c r="AEX3" s="161"/>
      <c r="AEY3" s="161"/>
      <c r="AEZ3" s="161"/>
      <c r="AFA3" s="161"/>
      <c r="AFB3" s="161"/>
      <c r="AFC3" s="161"/>
      <c r="AFD3" s="161"/>
      <c r="AFE3" s="161"/>
      <c r="AFF3" s="161"/>
      <c r="AFG3" s="161"/>
      <c r="AFH3" s="161"/>
      <c r="AFI3" s="161"/>
      <c r="AFJ3" s="161"/>
      <c r="AFK3" s="161"/>
      <c r="AFL3" s="161"/>
      <c r="AFM3" s="161"/>
      <c r="AFN3" s="161"/>
      <c r="AFO3" s="161"/>
      <c r="AFP3" s="161"/>
      <c r="AFQ3" s="161"/>
      <c r="AFR3" s="161"/>
      <c r="AFS3" s="161"/>
      <c r="AFT3" s="161"/>
      <c r="AFU3" s="161"/>
      <c r="AFV3" s="161"/>
      <c r="AFW3" s="161"/>
      <c r="AFX3" s="161"/>
      <c r="AFY3" s="161"/>
      <c r="AFZ3" s="161"/>
      <c r="AGA3" s="161"/>
      <c r="AGB3" s="161"/>
      <c r="AGC3" s="161"/>
      <c r="AGD3" s="161"/>
      <c r="AGE3" s="161"/>
      <c r="AGF3" s="161"/>
      <c r="AGG3" s="161"/>
      <c r="AGH3" s="161"/>
      <c r="AGI3" s="161"/>
      <c r="AGJ3" s="161"/>
      <c r="AGK3" s="161"/>
      <c r="AGL3" s="161"/>
      <c r="AGM3" s="161"/>
      <c r="AGN3" s="161"/>
      <c r="AGO3" s="161"/>
      <c r="AGP3" s="161"/>
      <c r="AGQ3" s="161"/>
      <c r="AGR3" s="161"/>
      <c r="AGS3" s="161"/>
      <c r="AGT3" s="161"/>
      <c r="AGU3" s="161"/>
      <c r="AGV3" s="161"/>
      <c r="AGW3" s="161"/>
      <c r="AGX3" s="161"/>
      <c r="AGY3" s="161"/>
      <c r="AGZ3" s="161"/>
      <c r="AHA3" s="161"/>
      <c r="AHB3" s="161"/>
      <c r="AHC3" s="161"/>
      <c r="AHD3" s="161"/>
      <c r="AHE3" s="161"/>
      <c r="AHF3" s="161"/>
      <c r="AHG3" s="161"/>
      <c r="AHH3" s="161"/>
      <c r="AHI3" s="161"/>
      <c r="AHJ3" s="161"/>
      <c r="AHK3" s="161"/>
      <c r="AHL3" s="161"/>
      <c r="AHM3" s="161"/>
      <c r="AHN3" s="161"/>
      <c r="AHO3" s="161"/>
      <c r="AHP3" s="161"/>
      <c r="AHQ3" s="161"/>
      <c r="AHR3" s="161"/>
      <c r="AHS3" s="161"/>
      <c r="AHT3" s="161"/>
      <c r="AHU3" s="161"/>
      <c r="AHV3" s="161"/>
      <c r="AHW3" s="161"/>
      <c r="AHX3" s="161"/>
      <c r="AHY3" s="161"/>
      <c r="AHZ3" s="161"/>
      <c r="AIA3" s="161"/>
      <c r="AIB3" s="161"/>
      <c r="AIC3" s="161"/>
      <c r="AID3" s="161"/>
      <c r="AIE3" s="161"/>
      <c r="AIF3" s="161"/>
      <c r="AIG3" s="161"/>
      <c r="AIH3" s="161"/>
      <c r="AII3" s="161"/>
      <c r="AIJ3" s="161"/>
      <c r="AIK3" s="161"/>
      <c r="AIL3" s="161"/>
      <c r="AIM3" s="161"/>
      <c r="AIN3" s="161"/>
      <c r="AIO3" s="161"/>
      <c r="AIP3" s="161"/>
      <c r="AIQ3" s="161"/>
      <c r="AIR3" s="161"/>
      <c r="AIS3" s="161"/>
      <c r="AIT3" s="161"/>
      <c r="AIU3" s="161"/>
      <c r="AIV3" s="161"/>
      <c r="AIW3" s="161"/>
      <c r="AIX3" s="161"/>
      <c r="AIY3" s="161"/>
      <c r="AIZ3" s="161"/>
      <c r="AJA3" s="161"/>
      <c r="AJB3" s="161"/>
      <c r="AJC3" s="161"/>
      <c r="AJD3" s="161"/>
      <c r="AJE3" s="161"/>
      <c r="AJF3" s="161"/>
      <c r="AJG3" s="161"/>
      <c r="AJH3" s="161"/>
      <c r="AJI3" s="161"/>
      <c r="AJJ3" s="161"/>
      <c r="AJK3" s="161"/>
      <c r="AJL3" s="161"/>
      <c r="AJM3" s="161"/>
      <c r="AJN3" s="161"/>
      <c r="AJO3" s="161"/>
      <c r="AJP3" s="161"/>
      <c r="AJQ3" s="161"/>
      <c r="AJR3" s="161"/>
      <c r="AJS3" s="161"/>
      <c r="AJT3" s="161"/>
      <c r="AJU3" s="161"/>
      <c r="AJV3" s="161"/>
      <c r="AJW3" s="161"/>
      <c r="AJX3" s="161"/>
      <c r="AJY3" s="161"/>
      <c r="AJZ3" s="161"/>
      <c r="AKA3" s="161"/>
      <c r="AKB3" s="161"/>
      <c r="AKC3" s="161"/>
      <c r="AKD3" s="161"/>
      <c r="AKE3" s="161"/>
      <c r="AKF3" s="161"/>
      <c r="AKG3" s="161"/>
      <c r="AKH3" s="161"/>
      <c r="AKI3" s="161"/>
      <c r="AKJ3" s="161"/>
      <c r="AKK3" s="161"/>
      <c r="AKL3" s="161"/>
      <c r="AKM3" s="161"/>
      <c r="AKN3" s="161"/>
      <c r="AKO3" s="161"/>
      <c r="AKP3" s="161"/>
      <c r="AKQ3" s="161"/>
      <c r="AKR3" s="161"/>
      <c r="AKS3" s="161"/>
      <c r="AKT3" s="161"/>
      <c r="AKU3" s="161"/>
      <c r="AKV3" s="161"/>
      <c r="AKW3" s="161"/>
      <c r="AKX3" s="161"/>
      <c r="AKY3" s="161"/>
      <c r="AKZ3" s="161"/>
      <c r="ALA3" s="161"/>
      <c r="ALB3" s="161"/>
      <c r="ALC3" s="161"/>
      <c r="ALD3" s="161"/>
      <c r="ALE3" s="161"/>
      <c r="ALF3" s="161"/>
      <c r="ALG3" s="161"/>
      <c r="ALH3" s="161"/>
      <c r="ALI3" s="161"/>
      <c r="ALJ3" s="161"/>
      <c r="ALK3" s="161"/>
      <c r="ALL3" s="161"/>
      <c r="ALM3" s="161"/>
      <c r="ALN3" s="161"/>
      <c r="ALO3" s="161"/>
      <c r="ALP3" s="161"/>
      <c r="ALQ3" s="161"/>
      <c r="ALR3" s="161"/>
      <c r="ALS3" s="161"/>
      <c r="ALT3" s="161"/>
      <c r="ALU3" s="161"/>
      <c r="ALV3" s="161"/>
      <c r="ALW3" s="161"/>
      <c r="ALX3" s="161"/>
      <c r="ALY3" s="161"/>
      <c r="ALZ3" s="161"/>
      <c r="AMA3" s="161"/>
      <c r="AMB3" s="161"/>
      <c r="AMC3" s="161"/>
      <c r="AMD3" s="161"/>
      <c r="AME3" s="161"/>
      <c r="AMF3" s="161"/>
      <c r="AMG3" s="161"/>
      <c r="AMH3" s="161"/>
    </row>
    <row r="4" spans="1:1022" ht="15.6">
      <c r="A4" s="164"/>
      <c r="B4" s="161"/>
      <c r="C4" s="161"/>
      <c r="D4" s="161"/>
      <c r="E4" s="161"/>
      <c r="F4" s="161"/>
      <c r="G4" s="161"/>
      <c r="H4" s="162"/>
      <c r="I4" s="161"/>
      <c r="J4" s="161"/>
      <c r="K4" s="161"/>
      <c r="L4" s="161"/>
      <c r="M4" s="161"/>
      <c r="N4" s="162"/>
      <c r="O4" s="162"/>
      <c r="P4" s="162"/>
      <c r="Q4" s="162"/>
      <c r="R4" s="162"/>
      <c r="S4" s="162"/>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row>
    <row r="5" spans="1:1022" ht="15.6">
      <c r="A5" s="165" t="s">
        <v>666</v>
      </c>
      <c r="B5" s="166" t="s">
        <v>667</v>
      </c>
      <c r="C5" s="161"/>
      <c r="D5" s="161"/>
      <c r="E5" s="161"/>
      <c r="F5" s="161"/>
      <c r="G5" s="161"/>
      <c r="H5" s="162"/>
      <c r="I5" s="161"/>
      <c r="J5" s="161"/>
      <c r="K5" s="161"/>
      <c r="L5" s="161"/>
      <c r="M5" s="161"/>
      <c r="N5" s="162"/>
      <c r="O5" s="162"/>
      <c r="P5" s="162"/>
      <c r="Q5" s="162"/>
      <c r="R5" s="162"/>
      <c r="S5" s="162"/>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c r="ER5" s="161"/>
      <c r="ES5" s="161"/>
      <c r="ET5" s="161"/>
      <c r="EU5" s="161"/>
      <c r="EV5" s="161"/>
      <c r="EW5" s="161"/>
      <c r="EX5" s="161"/>
      <c r="EY5" s="161"/>
      <c r="EZ5" s="161"/>
      <c r="FA5" s="161"/>
      <c r="FB5" s="161"/>
      <c r="FC5" s="161"/>
      <c r="FD5" s="161"/>
      <c r="FE5" s="161"/>
      <c r="FF5" s="161"/>
      <c r="FG5" s="161"/>
      <c r="FH5" s="161"/>
      <c r="FI5" s="161"/>
      <c r="FJ5" s="161"/>
      <c r="FK5" s="161"/>
      <c r="FL5" s="161"/>
      <c r="FM5" s="161"/>
      <c r="FN5" s="161"/>
      <c r="FO5" s="161"/>
      <c r="FP5" s="161"/>
      <c r="FQ5" s="161"/>
      <c r="FR5" s="161"/>
      <c r="FS5" s="161"/>
      <c r="FT5" s="161"/>
      <c r="FU5" s="161"/>
      <c r="FV5" s="161"/>
      <c r="FW5" s="161"/>
      <c r="FX5" s="161"/>
      <c r="FY5" s="161"/>
      <c r="FZ5" s="161"/>
      <c r="GA5" s="161"/>
      <c r="GB5" s="161"/>
      <c r="GC5" s="161"/>
      <c r="GD5" s="161"/>
      <c r="GE5" s="161"/>
      <c r="GF5" s="161"/>
      <c r="GG5" s="161"/>
      <c r="GH5" s="161"/>
      <c r="GI5" s="161"/>
      <c r="GJ5" s="161"/>
      <c r="GK5" s="161"/>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c r="JD5" s="161"/>
      <c r="JE5" s="161"/>
      <c r="JF5" s="161"/>
      <c r="JG5" s="161"/>
      <c r="JH5" s="161"/>
      <c r="JI5" s="161"/>
      <c r="JJ5" s="161"/>
      <c r="JK5" s="161"/>
      <c r="JL5" s="161"/>
      <c r="JM5" s="161"/>
      <c r="JN5" s="161"/>
      <c r="JO5" s="161"/>
      <c r="JP5" s="161"/>
      <c r="JQ5" s="161"/>
      <c r="JR5" s="161"/>
      <c r="JS5" s="161"/>
      <c r="JT5" s="161"/>
      <c r="JU5" s="161"/>
      <c r="JV5" s="161"/>
      <c r="JW5" s="161"/>
      <c r="JX5" s="161"/>
      <c r="JY5" s="161"/>
      <c r="JZ5" s="161"/>
      <c r="KA5" s="161"/>
      <c r="KB5" s="161"/>
      <c r="KC5" s="161"/>
      <c r="KD5" s="161"/>
      <c r="KE5" s="161"/>
      <c r="KF5" s="161"/>
      <c r="KG5" s="161"/>
      <c r="KH5" s="161"/>
      <c r="KI5" s="161"/>
      <c r="KJ5" s="161"/>
      <c r="KK5" s="161"/>
      <c r="KL5" s="161"/>
      <c r="KM5" s="161"/>
      <c r="KN5" s="161"/>
      <c r="KO5" s="161"/>
      <c r="KP5" s="161"/>
      <c r="KQ5" s="161"/>
      <c r="KR5" s="161"/>
      <c r="KS5" s="161"/>
      <c r="KT5" s="161"/>
      <c r="KU5" s="161"/>
      <c r="KV5" s="161"/>
      <c r="KW5" s="161"/>
      <c r="KX5" s="161"/>
      <c r="KY5" s="161"/>
      <c r="KZ5" s="161"/>
      <c r="LA5" s="161"/>
      <c r="LB5" s="161"/>
      <c r="LC5" s="161"/>
      <c r="LD5" s="161"/>
      <c r="LE5" s="161"/>
      <c r="LF5" s="161"/>
      <c r="LG5" s="161"/>
      <c r="LH5" s="161"/>
      <c r="LI5" s="161"/>
      <c r="LJ5" s="161"/>
      <c r="LK5" s="161"/>
      <c r="LL5" s="161"/>
      <c r="LM5" s="161"/>
      <c r="LN5" s="161"/>
      <c r="LO5" s="161"/>
      <c r="LP5" s="161"/>
      <c r="LQ5" s="161"/>
      <c r="LR5" s="161"/>
      <c r="LS5" s="161"/>
      <c r="LT5" s="161"/>
      <c r="LU5" s="161"/>
      <c r="LV5" s="161"/>
      <c r="LW5" s="161"/>
      <c r="LX5" s="161"/>
      <c r="LY5" s="161"/>
      <c r="LZ5" s="161"/>
      <c r="MA5" s="161"/>
      <c r="MB5" s="161"/>
      <c r="MC5" s="161"/>
      <c r="MD5" s="161"/>
      <c r="ME5" s="161"/>
      <c r="MF5" s="161"/>
      <c r="MG5" s="161"/>
      <c r="MH5" s="161"/>
      <c r="MI5" s="161"/>
      <c r="MJ5" s="161"/>
      <c r="MK5" s="161"/>
      <c r="ML5" s="161"/>
      <c r="MM5" s="161"/>
      <c r="MN5" s="161"/>
      <c r="MO5" s="161"/>
      <c r="MP5" s="161"/>
      <c r="MQ5" s="161"/>
      <c r="MR5" s="161"/>
      <c r="MS5" s="161"/>
      <c r="MT5" s="161"/>
      <c r="MU5" s="161"/>
      <c r="MV5" s="161"/>
      <c r="MW5" s="161"/>
      <c r="MX5" s="161"/>
      <c r="MY5" s="161"/>
      <c r="MZ5" s="161"/>
      <c r="NA5" s="161"/>
      <c r="NB5" s="161"/>
      <c r="NC5" s="161"/>
      <c r="ND5" s="161"/>
      <c r="NE5" s="161"/>
      <c r="NF5" s="161"/>
      <c r="NG5" s="16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161"/>
      <c r="OF5" s="161"/>
      <c r="OG5" s="161"/>
      <c r="OH5" s="161"/>
      <c r="OI5" s="161"/>
      <c r="OJ5" s="161"/>
      <c r="OK5" s="161"/>
      <c r="OL5" s="161"/>
      <c r="OM5" s="161"/>
      <c r="ON5" s="161"/>
      <c r="OO5" s="161"/>
      <c r="OP5" s="161"/>
      <c r="OQ5" s="161"/>
      <c r="OR5" s="161"/>
      <c r="OS5" s="161"/>
      <c r="OT5" s="161"/>
      <c r="OU5" s="161"/>
      <c r="OV5" s="161"/>
      <c r="OW5" s="161"/>
      <c r="OX5" s="161"/>
      <c r="OY5" s="161"/>
      <c r="OZ5" s="161"/>
      <c r="PA5" s="161"/>
      <c r="PB5" s="161"/>
      <c r="PC5" s="161"/>
      <c r="PD5" s="161"/>
      <c r="PE5" s="161"/>
      <c r="PF5" s="161"/>
      <c r="PG5" s="161"/>
      <c r="PH5" s="161"/>
      <c r="PI5" s="161"/>
      <c r="PJ5" s="161"/>
      <c r="PK5" s="161"/>
      <c r="PL5" s="161"/>
      <c r="PM5" s="161"/>
      <c r="PN5" s="161"/>
      <c r="PO5" s="161"/>
      <c r="PP5" s="161"/>
      <c r="PQ5" s="161"/>
      <c r="PR5" s="161"/>
      <c r="PS5" s="161"/>
      <c r="PT5" s="161"/>
      <c r="PU5" s="161"/>
      <c r="PV5" s="161"/>
      <c r="PW5" s="161"/>
      <c r="PX5" s="161"/>
      <c r="PY5" s="161"/>
      <c r="PZ5" s="161"/>
      <c r="QA5" s="161"/>
      <c r="QB5" s="161"/>
      <c r="QC5" s="161"/>
      <c r="QD5" s="161"/>
      <c r="QE5" s="161"/>
      <c r="QF5" s="161"/>
      <c r="QG5" s="161"/>
      <c r="QH5" s="161"/>
      <c r="QI5" s="161"/>
      <c r="QJ5" s="161"/>
      <c r="QK5" s="161"/>
      <c r="QL5" s="161"/>
      <c r="QM5" s="161"/>
      <c r="QN5" s="161"/>
      <c r="QO5" s="161"/>
      <c r="QP5" s="161"/>
      <c r="QQ5" s="161"/>
      <c r="QR5" s="161"/>
      <c r="QS5" s="161"/>
      <c r="QT5" s="161"/>
      <c r="QU5" s="161"/>
      <c r="QV5" s="161"/>
      <c r="QW5" s="161"/>
      <c r="QX5" s="161"/>
      <c r="QY5" s="161"/>
      <c r="QZ5" s="161"/>
      <c r="RA5" s="161"/>
      <c r="RB5" s="161"/>
      <c r="RC5" s="161"/>
      <c r="RD5" s="161"/>
      <c r="RE5" s="161"/>
      <c r="RF5" s="161"/>
      <c r="RG5" s="161"/>
      <c r="RH5" s="161"/>
      <c r="RI5" s="161"/>
      <c r="RJ5" s="161"/>
      <c r="RK5" s="161"/>
      <c r="RL5" s="161"/>
      <c r="RM5" s="161"/>
      <c r="RN5" s="161"/>
      <c r="RO5" s="161"/>
      <c r="RP5" s="161"/>
      <c r="RQ5" s="161"/>
      <c r="RR5" s="161"/>
      <c r="RS5" s="161"/>
      <c r="RT5" s="161"/>
      <c r="RU5" s="161"/>
      <c r="RV5" s="161"/>
      <c r="RW5" s="161"/>
      <c r="RX5" s="161"/>
      <c r="RY5" s="161"/>
      <c r="RZ5" s="161"/>
      <c r="SA5" s="161"/>
      <c r="SB5" s="161"/>
      <c r="SC5" s="161"/>
      <c r="SD5" s="161"/>
      <c r="SE5" s="161"/>
      <c r="SF5" s="161"/>
      <c r="SG5" s="161"/>
      <c r="SH5" s="161"/>
      <c r="SI5" s="161"/>
      <c r="SJ5" s="161"/>
      <c r="SK5" s="161"/>
      <c r="SL5" s="161"/>
      <c r="SM5" s="161"/>
      <c r="SN5" s="161"/>
      <c r="SO5" s="161"/>
      <c r="SP5" s="161"/>
      <c r="SQ5" s="161"/>
      <c r="SR5" s="161"/>
      <c r="SS5" s="161"/>
      <c r="ST5" s="161"/>
      <c r="SU5" s="161"/>
      <c r="SV5" s="161"/>
      <c r="SW5" s="161"/>
      <c r="SX5" s="161"/>
      <c r="SY5" s="161"/>
      <c r="SZ5" s="161"/>
      <c r="TA5" s="161"/>
      <c r="TB5" s="161"/>
      <c r="TC5" s="161"/>
      <c r="TD5" s="161"/>
      <c r="TE5" s="161"/>
      <c r="TF5" s="161"/>
      <c r="TG5" s="161"/>
      <c r="TH5" s="161"/>
      <c r="TI5" s="161"/>
      <c r="TJ5" s="161"/>
      <c r="TK5" s="161"/>
      <c r="TL5" s="161"/>
      <c r="TM5" s="161"/>
      <c r="TN5" s="161"/>
      <c r="TO5" s="161"/>
      <c r="TP5" s="161"/>
      <c r="TQ5" s="161"/>
      <c r="TR5" s="161"/>
      <c r="TS5" s="161"/>
      <c r="TT5" s="161"/>
      <c r="TU5" s="161"/>
      <c r="TV5" s="161"/>
      <c r="TW5" s="161"/>
      <c r="TX5" s="161"/>
      <c r="TY5" s="161"/>
      <c r="TZ5" s="161"/>
      <c r="UA5" s="161"/>
      <c r="UB5" s="161"/>
      <c r="UC5" s="161"/>
      <c r="UD5" s="161"/>
      <c r="UE5" s="161"/>
      <c r="UF5" s="161"/>
      <c r="UG5" s="161"/>
      <c r="UH5" s="161"/>
      <c r="UI5" s="161"/>
      <c r="UJ5" s="161"/>
      <c r="UK5" s="161"/>
      <c r="UL5" s="161"/>
      <c r="UM5" s="161"/>
      <c r="UN5" s="161"/>
      <c r="UO5" s="161"/>
      <c r="UP5" s="161"/>
      <c r="UQ5" s="161"/>
      <c r="UR5" s="161"/>
      <c r="US5" s="161"/>
      <c r="UT5" s="161"/>
      <c r="UU5" s="161"/>
      <c r="UV5" s="161"/>
      <c r="UW5" s="161"/>
      <c r="UX5" s="161"/>
      <c r="UY5" s="161"/>
      <c r="UZ5" s="161"/>
      <c r="VA5" s="161"/>
      <c r="VB5" s="161"/>
      <c r="VC5" s="161"/>
      <c r="VD5" s="161"/>
      <c r="VE5" s="161"/>
      <c r="VF5" s="161"/>
      <c r="VG5" s="161"/>
      <c r="VH5" s="161"/>
      <c r="VI5" s="161"/>
      <c r="VJ5" s="161"/>
      <c r="VK5" s="161"/>
      <c r="VL5" s="161"/>
      <c r="VM5" s="161"/>
      <c r="VN5" s="161"/>
      <c r="VO5" s="161"/>
      <c r="VP5" s="161"/>
      <c r="VQ5" s="161"/>
      <c r="VR5" s="161"/>
      <c r="VS5" s="161"/>
      <c r="VT5" s="161"/>
      <c r="VU5" s="161"/>
      <c r="VV5" s="161"/>
      <c r="VW5" s="161"/>
      <c r="VX5" s="161"/>
      <c r="VY5" s="161"/>
      <c r="VZ5" s="161"/>
      <c r="WA5" s="161"/>
      <c r="WB5" s="161"/>
      <c r="WC5" s="161"/>
      <c r="WD5" s="161"/>
      <c r="WE5" s="161"/>
      <c r="WF5" s="161"/>
      <c r="WG5" s="161"/>
      <c r="WH5" s="161"/>
      <c r="WI5" s="161"/>
      <c r="WJ5" s="161"/>
      <c r="WK5" s="161"/>
      <c r="WL5" s="161"/>
      <c r="WM5" s="161"/>
      <c r="WN5" s="161"/>
      <c r="WO5" s="161"/>
      <c r="WP5" s="161"/>
      <c r="WQ5" s="161"/>
      <c r="WR5" s="161"/>
      <c r="WS5" s="161"/>
      <c r="WT5" s="161"/>
      <c r="WU5" s="161"/>
      <c r="WV5" s="161"/>
      <c r="WW5" s="161"/>
      <c r="WX5" s="161"/>
      <c r="WY5" s="161"/>
      <c r="WZ5" s="161"/>
      <c r="XA5" s="161"/>
      <c r="XB5" s="161"/>
      <c r="XC5" s="161"/>
      <c r="XD5" s="161"/>
      <c r="XE5" s="161"/>
      <c r="XF5" s="161"/>
      <c r="XG5" s="161"/>
      <c r="XH5" s="161"/>
      <c r="XI5" s="161"/>
      <c r="XJ5" s="161"/>
      <c r="XK5" s="161"/>
      <c r="XL5" s="161"/>
      <c r="XM5" s="161"/>
      <c r="XN5" s="161"/>
      <c r="XO5" s="161"/>
      <c r="XP5" s="161"/>
      <c r="XQ5" s="161"/>
      <c r="XR5" s="161"/>
      <c r="XS5" s="161"/>
      <c r="XT5" s="161"/>
      <c r="XU5" s="161"/>
      <c r="XV5" s="161"/>
      <c r="XW5" s="161"/>
      <c r="XX5" s="161"/>
      <c r="XY5" s="161"/>
      <c r="XZ5" s="161"/>
      <c r="YA5" s="161"/>
      <c r="YB5" s="161"/>
      <c r="YC5" s="161"/>
      <c r="YD5" s="161"/>
      <c r="YE5" s="161"/>
      <c r="YF5" s="161"/>
      <c r="YG5" s="161"/>
      <c r="YH5" s="161"/>
      <c r="YI5" s="161"/>
      <c r="YJ5" s="161"/>
      <c r="YK5" s="161"/>
      <c r="YL5" s="161"/>
      <c r="YM5" s="161"/>
      <c r="YN5" s="161"/>
      <c r="YO5" s="161"/>
      <c r="YP5" s="161"/>
      <c r="YQ5" s="161"/>
      <c r="YR5" s="161"/>
      <c r="YS5" s="161"/>
      <c r="YT5" s="161"/>
      <c r="YU5" s="161"/>
      <c r="YV5" s="161"/>
      <c r="YW5" s="161"/>
      <c r="YX5" s="161"/>
      <c r="YY5" s="161"/>
      <c r="YZ5" s="161"/>
      <c r="ZA5" s="161"/>
      <c r="ZB5" s="161"/>
      <c r="ZC5" s="161"/>
      <c r="ZD5" s="161"/>
      <c r="ZE5" s="161"/>
      <c r="ZF5" s="161"/>
      <c r="ZG5" s="161"/>
      <c r="ZH5" s="161"/>
      <c r="ZI5" s="161"/>
      <c r="ZJ5" s="161"/>
      <c r="ZK5" s="161"/>
      <c r="ZL5" s="161"/>
      <c r="ZM5" s="161"/>
      <c r="ZN5" s="161"/>
      <c r="ZO5" s="161"/>
      <c r="ZP5" s="161"/>
      <c r="ZQ5" s="161"/>
      <c r="ZR5" s="161"/>
      <c r="ZS5" s="161"/>
      <c r="ZT5" s="161"/>
      <c r="ZU5" s="161"/>
      <c r="ZV5" s="161"/>
      <c r="ZW5" s="161"/>
      <c r="ZX5" s="161"/>
      <c r="ZY5" s="161"/>
      <c r="ZZ5" s="161"/>
      <c r="AAA5" s="161"/>
      <c r="AAB5" s="161"/>
      <c r="AAC5" s="161"/>
      <c r="AAD5" s="161"/>
      <c r="AAE5" s="161"/>
      <c r="AAF5" s="161"/>
      <c r="AAG5" s="161"/>
      <c r="AAH5" s="161"/>
      <c r="AAI5" s="161"/>
      <c r="AAJ5" s="161"/>
      <c r="AAK5" s="161"/>
      <c r="AAL5" s="161"/>
      <c r="AAM5" s="161"/>
      <c r="AAN5" s="161"/>
      <c r="AAO5" s="161"/>
      <c r="AAP5" s="161"/>
      <c r="AAQ5" s="161"/>
      <c r="AAR5" s="161"/>
      <c r="AAS5" s="161"/>
      <c r="AAT5" s="161"/>
      <c r="AAU5" s="161"/>
      <c r="AAV5" s="161"/>
      <c r="AAW5" s="161"/>
      <c r="AAX5" s="161"/>
      <c r="AAY5" s="161"/>
      <c r="AAZ5" s="161"/>
      <c r="ABA5" s="161"/>
      <c r="ABB5" s="161"/>
      <c r="ABC5" s="161"/>
      <c r="ABD5" s="161"/>
      <c r="ABE5" s="161"/>
      <c r="ABF5" s="161"/>
      <c r="ABG5" s="161"/>
      <c r="ABH5" s="161"/>
      <c r="ABI5" s="161"/>
      <c r="ABJ5" s="161"/>
      <c r="ABK5" s="161"/>
      <c r="ABL5" s="161"/>
      <c r="ABM5" s="161"/>
      <c r="ABN5" s="161"/>
      <c r="ABO5" s="161"/>
      <c r="ABP5" s="161"/>
      <c r="ABQ5" s="161"/>
      <c r="ABR5" s="161"/>
      <c r="ABS5" s="161"/>
      <c r="ABT5" s="161"/>
      <c r="ABU5" s="161"/>
      <c r="ABV5" s="161"/>
      <c r="ABW5" s="161"/>
      <c r="ABX5" s="161"/>
      <c r="ABY5" s="161"/>
      <c r="ABZ5" s="161"/>
      <c r="ACA5" s="161"/>
      <c r="ACB5" s="161"/>
      <c r="ACC5" s="161"/>
      <c r="ACD5" s="161"/>
      <c r="ACE5" s="161"/>
      <c r="ACF5" s="161"/>
      <c r="ACG5" s="161"/>
      <c r="ACH5" s="161"/>
      <c r="ACI5" s="161"/>
      <c r="ACJ5" s="161"/>
      <c r="ACK5" s="161"/>
      <c r="ACL5" s="161"/>
      <c r="ACM5" s="161"/>
      <c r="ACN5" s="161"/>
      <c r="ACO5" s="161"/>
      <c r="ACP5" s="161"/>
      <c r="ACQ5" s="161"/>
      <c r="ACR5" s="161"/>
      <c r="ACS5" s="161"/>
      <c r="ACT5" s="161"/>
      <c r="ACU5" s="161"/>
      <c r="ACV5" s="161"/>
      <c r="ACW5" s="161"/>
      <c r="ACX5" s="161"/>
      <c r="ACY5" s="161"/>
      <c r="ACZ5" s="161"/>
      <c r="ADA5" s="161"/>
      <c r="ADB5" s="161"/>
      <c r="ADC5" s="161"/>
      <c r="ADD5" s="161"/>
      <c r="ADE5" s="161"/>
      <c r="ADF5" s="161"/>
      <c r="ADG5" s="161"/>
      <c r="ADH5" s="161"/>
      <c r="ADI5" s="161"/>
      <c r="ADJ5" s="161"/>
      <c r="ADK5" s="161"/>
      <c r="ADL5" s="161"/>
      <c r="ADM5" s="161"/>
      <c r="ADN5" s="161"/>
      <c r="ADO5" s="161"/>
      <c r="ADP5" s="161"/>
      <c r="ADQ5" s="161"/>
      <c r="ADR5" s="161"/>
      <c r="ADS5" s="161"/>
      <c r="ADT5" s="161"/>
      <c r="ADU5" s="161"/>
      <c r="ADV5" s="161"/>
      <c r="ADW5" s="161"/>
      <c r="ADX5" s="161"/>
      <c r="ADY5" s="161"/>
      <c r="ADZ5" s="161"/>
      <c r="AEA5" s="161"/>
      <c r="AEB5" s="161"/>
      <c r="AEC5" s="161"/>
      <c r="AED5" s="161"/>
      <c r="AEE5" s="161"/>
      <c r="AEF5" s="161"/>
      <c r="AEG5" s="161"/>
      <c r="AEH5" s="161"/>
      <c r="AEI5" s="161"/>
      <c r="AEJ5" s="161"/>
      <c r="AEK5" s="161"/>
      <c r="AEL5" s="161"/>
      <c r="AEM5" s="161"/>
      <c r="AEN5" s="161"/>
      <c r="AEO5" s="161"/>
      <c r="AEP5" s="161"/>
      <c r="AEQ5" s="161"/>
      <c r="AER5" s="161"/>
      <c r="AES5" s="161"/>
      <c r="AET5" s="161"/>
      <c r="AEU5" s="161"/>
      <c r="AEV5" s="161"/>
      <c r="AEW5" s="161"/>
      <c r="AEX5" s="161"/>
      <c r="AEY5" s="161"/>
      <c r="AEZ5" s="161"/>
      <c r="AFA5" s="161"/>
      <c r="AFB5" s="161"/>
      <c r="AFC5" s="161"/>
      <c r="AFD5" s="161"/>
      <c r="AFE5" s="161"/>
      <c r="AFF5" s="161"/>
      <c r="AFG5" s="161"/>
      <c r="AFH5" s="161"/>
      <c r="AFI5" s="161"/>
      <c r="AFJ5" s="161"/>
      <c r="AFK5" s="161"/>
      <c r="AFL5" s="161"/>
      <c r="AFM5" s="161"/>
      <c r="AFN5" s="161"/>
      <c r="AFO5" s="161"/>
      <c r="AFP5" s="161"/>
      <c r="AFQ5" s="161"/>
      <c r="AFR5" s="161"/>
      <c r="AFS5" s="161"/>
      <c r="AFT5" s="161"/>
      <c r="AFU5" s="161"/>
      <c r="AFV5" s="161"/>
      <c r="AFW5" s="161"/>
      <c r="AFX5" s="161"/>
      <c r="AFY5" s="161"/>
      <c r="AFZ5" s="161"/>
      <c r="AGA5" s="161"/>
      <c r="AGB5" s="161"/>
      <c r="AGC5" s="161"/>
      <c r="AGD5" s="161"/>
      <c r="AGE5" s="161"/>
      <c r="AGF5" s="161"/>
      <c r="AGG5" s="161"/>
      <c r="AGH5" s="161"/>
      <c r="AGI5" s="161"/>
      <c r="AGJ5" s="161"/>
      <c r="AGK5" s="161"/>
      <c r="AGL5" s="161"/>
      <c r="AGM5" s="161"/>
      <c r="AGN5" s="161"/>
      <c r="AGO5" s="161"/>
      <c r="AGP5" s="161"/>
      <c r="AGQ5" s="161"/>
      <c r="AGR5" s="161"/>
      <c r="AGS5" s="161"/>
      <c r="AGT5" s="161"/>
      <c r="AGU5" s="161"/>
      <c r="AGV5" s="161"/>
      <c r="AGW5" s="161"/>
      <c r="AGX5" s="161"/>
      <c r="AGY5" s="161"/>
      <c r="AGZ5" s="161"/>
      <c r="AHA5" s="161"/>
      <c r="AHB5" s="161"/>
      <c r="AHC5" s="161"/>
      <c r="AHD5" s="161"/>
      <c r="AHE5" s="161"/>
      <c r="AHF5" s="161"/>
      <c r="AHG5" s="161"/>
      <c r="AHH5" s="161"/>
      <c r="AHI5" s="161"/>
      <c r="AHJ5" s="161"/>
      <c r="AHK5" s="161"/>
      <c r="AHL5" s="161"/>
      <c r="AHM5" s="161"/>
      <c r="AHN5" s="161"/>
      <c r="AHO5" s="161"/>
      <c r="AHP5" s="161"/>
      <c r="AHQ5" s="161"/>
      <c r="AHR5" s="161"/>
      <c r="AHS5" s="161"/>
      <c r="AHT5" s="161"/>
      <c r="AHU5" s="161"/>
      <c r="AHV5" s="161"/>
      <c r="AHW5" s="161"/>
      <c r="AHX5" s="161"/>
      <c r="AHY5" s="161"/>
      <c r="AHZ5" s="161"/>
      <c r="AIA5" s="161"/>
      <c r="AIB5" s="161"/>
      <c r="AIC5" s="161"/>
      <c r="AID5" s="161"/>
      <c r="AIE5" s="161"/>
      <c r="AIF5" s="161"/>
      <c r="AIG5" s="161"/>
      <c r="AIH5" s="161"/>
      <c r="AII5" s="161"/>
      <c r="AIJ5" s="161"/>
      <c r="AIK5" s="161"/>
      <c r="AIL5" s="161"/>
      <c r="AIM5" s="161"/>
      <c r="AIN5" s="161"/>
      <c r="AIO5" s="161"/>
      <c r="AIP5" s="161"/>
      <c r="AIQ5" s="161"/>
      <c r="AIR5" s="161"/>
      <c r="AIS5" s="161"/>
      <c r="AIT5" s="161"/>
      <c r="AIU5" s="161"/>
      <c r="AIV5" s="161"/>
      <c r="AIW5" s="161"/>
      <c r="AIX5" s="161"/>
      <c r="AIY5" s="161"/>
      <c r="AIZ5" s="161"/>
      <c r="AJA5" s="161"/>
      <c r="AJB5" s="161"/>
      <c r="AJC5" s="161"/>
      <c r="AJD5" s="161"/>
      <c r="AJE5" s="161"/>
      <c r="AJF5" s="161"/>
      <c r="AJG5" s="161"/>
      <c r="AJH5" s="161"/>
      <c r="AJI5" s="161"/>
      <c r="AJJ5" s="161"/>
      <c r="AJK5" s="161"/>
      <c r="AJL5" s="161"/>
      <c r="AJM5" s="161"/>
      <c r="AJN5" s="161"/>
      <c r="AJO5" s="161"/>
      <c r="AJP5" s="161"/>
      <c r="AJQ5" s="161"/>
      <c r="AJR5" s="161"/>
      <c r="AJS5" s="161"/>
      <c r="AJT5" s="161"/>
      <c r="AJU5" s="161"/>
      <c r="AJV5" s="161"/>
      <c r="AJW5" s="161"/>
      <c r="AJX5" s="161"/>
      <c r="AJY5" s="161"/>
      <c r="AJZ5" s="161"/>
      <c r="AKA5" s="161"/>
      <c r="AKB5" s="161"/>
      <c r="AKC5" s="161"/>
      <c r="AKD5" s="161"/>
      <c r="AKE5" s="161"/>
      <c r="AKF5" s="161"/>
      <c r="AKG5" s="161"/>
      <c r="AKH5" s="161"/>
      <c r="AKI5" s="161"/>
      <c r="AKJ5" s="161"/>
      <c r="AKK5" s="161"/>
      <c r="AKL5" s="161"/>
      <c r="AKM5" s="161"/>
      <c r="AKN5" s="161"/>
      <c r="AKO5" s="161"/>
      <c r="AKP5" s="161"/>
      <c r="AKQ5" s="161"/>
      <c r="AKR5" s="161"/>
      <c r="AKS5" s="161"/>
      <c r="AKT5" s="161"/>
      <c r="AKU5" s="161"/>
      <c r="AKV5" s="161"/>
      <c r="AKW5" s="161"/>
      <c r="AKX5" s="161"/>
      <c r="AKY5" s="161"/>
      <c r="AKZ5" s="161"/>
      <c r="ALA5" s="161"/>
      <c r="ALB5" s="161"/>
      <c r="ALC5" s="161"/>
      <c r="ALD5" s="161"/>
      <c r="ALE5" s="161"/>
      <c r="ALF5" s="161"/>
      <c r="ALG5" s="161"/>
      <c r="ALH5" s="161"/>
      <c r="ALI5" s="161"/>
      <c r="ALJ5" s="161"/>
      <c r="ALK5" s="161"/>
      <c r="ALL5" s="161"/>
      <c r="ALM5" s="161"/>
      <c r="ALN5" s="161"/>
      <c r="ALO5" s="161"/>
      <c r="ALP5" s="161"/>
      <c r="ALQ5" s="161"/>
      <c r="ALR5" s="161"/>
      <c r="ALS5" s="161"/>
      <c r="ALT5" s="161"/>
      <c r="ALU5" s="161"/>
      <c r="ALV5" s="161"/>
      <c r="ALW5" s="161"/>
      <c r="ALX5" s="161"/>
      <c r="ALY5" s="161"/>
      <c r="ALZ5" s="161"/>
      <c r="AMA5" s="161"/>
      <c r="AMB5" s="161"/>
      <c r="AMC5" s="161"/>
      <c r="AMD5" s="161"/>
      <c r="AME5" s="161"/>
      <c r="AMF5" s="161"/>
      <c r="AMG5" s="161"/>
      <c r="AMH5" s="161"/>
    </row>
    <row r="6" spans="1:1022" ht="15.6">
      <c r="A6" s="165" t="s">
        <v>668</v>
      </c>
      <c r="B6" s="167" t="s">
        <v>813</v>
      </c>
      <c r="C6" s="161"/>
      <c r="D6" s="161"/>
      <c r="E6" s="161"/>
      <c r="F6" s="161"/>
      <c r="G6" s="161"/>
      <c r="H6" s="162"/>
      <c r="I6" s="161"/>
      <c r="J6" s="161"/>
      <c r="K6" s="161"/>
      <c r="L6" s="161"/>
      <c r="M6" s="161"/>
      <c r="N6" s="162"/>
      <c r="O6" s="162"/>
      <c r="P6" s="162"/>
      <c r="Q6" s="162"/>
      <c r="R6" s="162"/>
      <c r="S6" s="162"/>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61"/>
      <c r="ER6" s="161"/>
      <c r="ES6" s="161"/>
      <c r="ET6" s="161"/>
      <c r="EU6" s="161"/>
      <c r="EV6" s="161"/>
      <c r="EW6" s="161"/>
      <c r="EX6" s="161"/>
      <c r="EY6" s="161"/>
      <c r="EZ6" s="161"/>
      <c r="FA6" s="161"/>
      <c r="FB6" s="161"/>
      <c r="FC6" s="161"/>
      <c r="FD6" s="161"/>
      <c r="FE6" s="161"/>
      <c r="FF6" s="161"/>
      <c r="FG6" s="161"/>
      <c r="FH6" s="161"/>
      <c r="FI6" s="161"/>
      <c r="FJ6" s="161"/>
      <c r="FK6" s="161"/>
      <c r="FL6" s="161"/>
      <c r="FM6" s="161"/>
      <c r="FN6" s="161"/>
      <c r="FO6" s="161"/>
      <c r="FP6" s="161"/>
      <c r="FQ6" s="161"/>
      <c r="FR6" s="161"/>
      <c r="FS6" s="161"/>
      <c r="FT6" s="161"/>
      <c r="FU6" s="161"/>
      <c r="FV6" s="161"/>
      <c r="FW6" s="161"/>
      <c r="FX6" s="161"/>
      <c r="FY6" s="161"/>
      <c r="FZ6" s="161"/>
      <c r="GA6" s="161"/>
      <c r="GB6" s="161"/>
      <c r="GC6" s="161"/>
      <c r="GD6" s="161"/>
      <c r="GE6" s="161"/>
      <c r="GF6" s="161"/>
      <c r="GG6" s="161"/>
      <c r="GH6" s="161"/>
      <c r="GI6" s="161"/>
      <c r="GJ6" s="161"/>
      <c r="GK6" s="161"/>
      <c r="GL6" s="161"/>
      <c r="GM6" s="161"/>
      <c r="GN6" s="161"/>
      <c r="GO6" s="161"/>
      <c r="GP6" s="161"/>
      <c r="GQ6" s="161"/>
      <c r="GR6" s="161"/>
      <c r="GS6" s="161"/>
      <c r="GT6" s="161"/>
      <c r="GU6" s="161"/>
      <c r="GV6" s="161"/>
      <c r="GW6" s="161"/>
      <c r="GX6" s="161"/>
      <c r="GY6" s="161"/>
      <c r="GZ6" s="161"/>
      <c r="HA6" s="161"/>
      <c r="HB6" s="161"/>
      <c r="HC6" s="161"/>
      <c r="HD6" s="161"/>
      <c r="HE6" s="161"/>
      <c r="HF6" s="161"/>
      <c r="HG6" s="161"/>
      <c r="HH6" s="161"/>
      <c r="HI6" s="161"/>
      <c r="HJ6" s="161"/>
      <c r="HK6" s="161"/>
      <c r="HL6" s="161"/>
      <c r="HM6" s="161"/>
      <c r="HN6" s="161"/>
      <c r="HO6" s="161"/>
      <c r="HP6" s="161"/>
      <c r="HQ6" s="161"/>
      <c r="HR6" s="161"/>
      <c r="HS6" s="161"/>
      <c r="HT6" s="161"/>
      <c r="HU6" s="161"/>
      <c r="HV6" s="161"/>
      <c r="HW6" s="161"/>
      <c r="HX6" s="161"/>
      <c r="HY6" s="161"/>
      <c r="HZ6" s="161"/>
      <c r="IA6" s="161"/>
      <c r="IB6" s="161"/>
      <c r="IC6" s="161"/>
      <c r="ID6" s="161"/>
      <c r="IE6" s="161"/>
      <c r="IF6" s="161"/>
      <c r="IG6" s="161"/>
      <c r="IH6" s="161"/>
      <c r="II6" s="161"/>
      <c r="IJ6" s="161"/>
      <c r="IK6" s="161"/>
      <c r="IL6" s="161"/>
      <c r="IM6" s="161"/>
      <c r="IN6" s="161"/>
      <c r="IO6" s="161"/>
      <c r="IP6" s="161"/>
      <c r="IQ6" s="161"/>
      <c r="IR6" s="161"/>
      <c r="IS6" s="161"/>
      <c r="IT6" s="161"/>
      <c r="IU6" s="161"/>
      <c r="IV6" s="161"/>
      <c r="IW6" s="161"/>
      <c r="IX6" s="161"/>
      <c r="IY6" s="161"/>
      <c r="IZ6" s="161"/>
      <c r="JA6" s="161"/>
      <c r="JB6" s="161"/>
      <c r="JC6" s="161"/>
      <c r="JD6" s="161"/>
      <c r="JE6" s="161"/>
      <c r="JF6" s="161"/>
      <c r="JG6" s="161"/>
      <c r="JH6" s="161"/>
      <c r="JI6" s="161"/>
      <c r="JJ6" s="161"/>
      <c r="JK6" s="161"/>
      <c r="JL6" s="161"/>
      <c r="JM6" s="161"/>
      <c r="JN6" s="161"/>
      <c r="JO6" s="161"/>
      <c r="JP6" s="161"/>
      <c r="JQ6" s="161"/>
      <c r="JR6" s="161"/>
      <c r="JS6" s="161"/>
      <c r="JT6" s="161"/>
      <c r="JU6" s="161"/>
      <c r="JV6" s="161"/>
      <c r="JW6" s="161"/>
      <c r="JX6" s="161"/>
      <c r="JY6" s="161"/>
      <c r="JZ6" s="161"/>
      <c r="KA6" s="161"/>
      <c r="KB6" s="161"/>
      <c r="KC6" s="161"/>
      <c r="KD6" s="161"/>
      <c r="KE6" s="161"/>
      <c r="KF6" s="161"/>
      <c r="KG6" s="161"/>
      <c r="KH6" s="161"/>
      <c r="KI6" s="161"/>
      <c r="KJ6" s="161"/>
      <c r="KK6" s="161"/>
      <c r="KL6" s="161"/>
      <c r="KM6" s="161"/>
      <c r="KN6" s="161"/>
      <c r="KO6" s="161"/>
      <c r="KP6" s="161"/>
      <c r="KQ6" s="161"/>
      <c r="KR6" s="161"/>
      <c r="KS6" s="161"/>
      <c r="KT6" s="161"/>
      <c r="KU6" s="161"/>
      <c r="KV6" s="161"/>
      <c r="KW6" s="161"/>
      <c r="KX6" s="161"/>
      <c r="KY6" s="161"/>
      <c r="KZ6" s="161"/>
      <c r="LA6" s="161"/>
      <c r="LB6" s="161"/>
      <c r="LC6" s="161"/>
      <c r="LD6" s="161"/>
      <c r="LE6" s="161"/>
      <c r="LF6" s="161"/>
      <c r="LG6" s="161"/>
      <c r="LH6" s="161"/>
      <c r="LI6" s="161"/>
      <c r="LJ6" s="161"/>
      <c r="LK6" s="161"/>
      <c r="LL6" s="161"/>
      <c r="LM6" s="161"/>
      <c r="LN6" s="161"/>
      <c r="LO6" s="161"/>
      <c r="LP6" s="161"/>
      <c r="LQ6" s="161"/>
      <c r="LR6" s="161"/>
      <c r="LS6" s="161"/>
      <c r="LT6" s="161"/>
      <c r="LU6" s="161"/>
      <c r="LV6" s="161"/>
      <c r="LW6" s="161"/>
      <c r="LX6" s="161"/>
      <c r="LY6" s="161"/>
      <c r="LZ6" s="161"/>
      <c r="MA6" s="161"/>
      <c r="MB6" s="161"/>
      <c r="MC6" s="161"/>
      <c r="MD6" s="161"/>
      <c r="ME6" s="161"/>
      <c r="MF6" s="161"/>
      <c r="MG6" s="161"/>
      <c r="MH6" s="161"/>
      <c r="MI6" s="161"/>
      <c r="MJ6" s="161"/>
      <c r="MK6" s="161"/>
      <c r="ML6" s="161"/>
      <c r="MM6" s="161"/>
      <c r="MN6" s="161"/>
      <c r="MO6" s="161"/>
      <c r="MP6" s="161"/>
      <c r="MQ6" s="161"/>
      <c r="MR6" s="161"/>
      <c r="MS6" s="161"/>
      <c r="MT6" s="161"/>
      <c r="MU6" s="161"/>
      <c r="MV6" s="161"/>
      <c r="MW6" s="161"/>
      <c r="MX6" s="161"/>
      <c r="MY6" s="161"/>
      <c r="MZ6" s="161"/>
      <c r="NA6" s="161"/>
      <c r="NB6" s="161"/>
      <c r="NC6" s="161"/>
      <c r="ND6" s="161"/>
      <c r="NE6" s="161"/>
      <c r="NF6" s="161"/>
      <c r="NG6" s="161"/>
      <c r="NH6" s="161"/>
      <c r="NI6" s="161"/>
      <c r="NJ6" s="161"/>
      <c r="NK6" s="161"/>
      <c r="NL6" s="161"/>
      <c r="NM6" s="161"/>
      <c r="NN6" s="161"/>
      <c r="NO6" s="161"/>
      <c r="NP6" s="161"/>
      <c r="NQ6" s="161"/>
      <c r="NR6" s="161"/>
      <c r="NS6" s="161"/>
      <c r="NT6" s="161"/>
      <c r="NU6" s="161"/>
      <c r="NV6" s="161"/>
      <c r="NW6" s="161"/>
      <c r="NX6" s="161"/>
      <c r="NY6" s="161"/>
      <c r="NZ6" s="161"/>
      <c r="OA6" s="161"/>
      <c r="OB6" s="161"/>
      <c r="OC6" s="161"/>
      <c r="OD6" s="161"/>
      <c r="OE6" s="161"/>
      <c r="OF6" s="161"/>
      <c r="OG6" s="161"/>
      <c r="OH6" s="161"/>
      <c r="OI6" s="161"/>
      <c r="OJ6" s="161"/>
      <c r="OK6" s="161"/>
      <c r="OL6" s="161"/>
      <c r="OM6" s="161"/>
      <c r="ON6" s="161"/>
      <c r="OO6" s="161"/>
      <c r="OP6" s="161"/>
      <c r="OQ6" s="161"/>
      <c r="OR6" s="161"/>
      <c r="OS6" s="161"/>
      <c r="OT6" s="161"/>
      <c r="OU6" s="161"/>
      <c r="OV6" s="161"/>
      <c r="OW6" s="161"/>
      <c r="OX6" s="161"/>
      <c r="OY6" s="161"/>
      <c r="OZ6" s="161"/>
      <c r="PA6" s="161"/>
      <c r="PB6" s="161"/>
      <c r="PC6" s="161"/>
      <c r="PD6" s="161"/>
      <c r="PE6" s="161"/>
      <c r="PF6" s="161"/>
      <c r="PG6" s="161"/>
      <c r="PH6" s="161"/>
      <c r="PI6" s="161"/>
      <c r="PJ6" s="161"/>
      <c r="PK6" s="161"/>
      <c r="PL6" s="161"/>
      <c r="PM6" s="161"/>
      <c r="PN6" s="161"/>
      <c r="PO6" s="161"/>
      <c r="PP6" s="161"/>
      <c r="PQ6" s="161"/>
      <c r="PR6" s="161"/>
      <c r="PS6" s="161"/>
      <c r="PT6" s="161"/>
      <c r="PU6" s="161"/>
      <c r="PV6" s="161"/>
      <c r="PW6" s="161"/>
      <c r="PX6" s="161"/>
      <c r="PY6" s="161"/>
      <c r="PZ6" s="161"/>
      <c r="QA6" s="161"/>
      <c r="QB6" s="161"/>
      <c r="QC6" s="161"/>
      <c r="QD6" s="161"/>
      <c r="QE6" s="161"/>
      <c r="QF6" s="161"/>
      <c r="QG6" s="161"/>
      <c r="QH6" s="161"/>
      <c r="QI6" s="161"/>
      <c r="QJ6" s="161"/>
      <c r="QK6" s="161"/>
      <c r="QL6" s="161"/>
      <c r="QM6" s="161"/>
      <c r="QN6" s="161"/>
      <c r="QO6" s="161"/>
      <c r="QP6" s="161"/>
      <c r="QQ6" s="161"/>
      <c r="QR6" s="161"/>
      <c r="QS6" s="161"/>
      <c r="QT6" s="161"/>
      <c r="QU6" s="161"/>
      <c r="QV6" s="161"/>
      <c r="QW6" s="161"/>
      <c r="QX6" s="161"/>
      <c r="QY6" s="161"/>
      <c r="QZ6" s="161"/>
      <c r="RA6" s="161"/>
      <c r="RB6" s="161"/>
      <c r="RC6" s="161"/>
      <c r="RD6" s="161"/>
      <c r="RE6" s="161"/>
      <c r="RF6" s="161"/>
      <c r="RG6" s="161"/>
      <c r="RH6" s="161"/>
      <c r="RI6" s="161"/>
      <c r="RJ6" s="161"/>
      <c r="RK6" s="161"/>
      <c r="RL6" s="161"/>
      <c r="RM6" s="161"/>
      <c r="RN6" s="161"/>
      <c r="RO6" s="161"/>
      <c r="RP6" s="161"/>
      <c r="RQ6" s="161"/>
      <c r="RR6" s="161"/>
      <c r="RS6" s="161"/>
      <c r="RT6" s="161"/>
      <c r="RU6" s="161"/>
      <c r="RV6" s="161"/>
      <c r="RW6" s="161"/>
      <c r="RX6" s="161"/>
      <c r="RY6" s="161"/>
      <c r="RZ6" s="161"/>
      <c r="SA6" s="161"/>
      <c r="SB6" s="161"/>
      <c r="SC6" s="161"/>
      <c r="SD6" s="161"/>
      <c r="SE6" s="161"/>
      <c r="SF6" s="161"/>
      <c r="SG6" s="161"/>
      <c r="SH6" s="161"/>
      <c r="SI6" s="161"/>
      <c r="SJ6" s="161"/>
      <c r="SK6" s="161"/>
      <c r="SL6" s="161"/>
      <c r="SM6" s="161"/>
      <c r="SN6" s="161"/>
      <c r="SO6" s="161"/>
      <c r="SP6" s="161"/>
      <c r="SQ6" s="161"/>
      <c r="SR6" s="161"/>
      <c r="SS6" s="161"/>
      <c r="ST6" s="161"/>
      <c r="SU6" s="161"/>
      <c r="SV6" s="161"/>
      <c r="SW6" s="161"/>
      <c r="SX6" s="161"/>
      <c r="SY6" s="161"/>
      <c r="SZ6" s="161"/>
      <c r="TA6" s="161"/>
      <c r="TB6" s="161"/>
      <c r="TC6" s="161"/>
      <c r="TD6" s="161"/>
      <c r="TE6" s="161"/>
      <c r="TF6" s="161"/>
      <c r="TG6" s="161"/>
      <c r="TH6" s="161"/>
      <c r="TI6" s="161"/>
      <c r="TJ6" s="161"/>
      <c r="TK6" s="161"/>
      <c r="TL6" s="161"/>
      <c r="TM6" s="161"/>
      <c r="TN6" s="161"/>
      <c r="TO6" s="161"/>
      <c r="TP6" s="161"/>
      <c r="TQ6" s="161"/>
      <c r="TR6" s="161"/>
      <c r="TS6" s="161"/>
      <c r="TT6" s="161"/>
      <c r="TU6" s="161"/>
      <c r="TV6" s="161"/>
      <c r="TW6" s="161"/>
      <c r="TX6" s="161"/>
      <c r="TY6" s="161"/>
      <c r="TZ6" s="161"/>
      <c r="UA6" s="161"/>
      <c r="UB6" s="161"/>
      <c r="UC6" s="161"/>
      <c r="UD6" s="161"/>
      <c r="UE6" s="161"/>
      <c r="UF6" s="161"/>
      <c r="UG6" s="161"/>
      <c r="UH6" s="161"/>
      <c r="UI6" s="161"/>
      <c r="UJ6" s="161"/>
      <c r="UK6" s="161"/>
      <c r="UL6" s="161"/>
      <c r="UM6" s="161"/>
      <c r="UN6" s="161"/>
      <c r="UO6" s="161"/>
      <c r="UP6" s="161"/>
      <c r="UQ6" s="161"/>
      <c r="UR6" s="161"/>
      <c r="US6" s="161"/>
      <c r="UT6" s="161"/>
      <c r="UU6" s="161"/>
      <c r="UV6" s="161"/>
      <c r="UW6" s="161"/>
      <c r="UX6" s="161"/>
      <c r="UY6" s="161"/>
      <c r="UZ6" s="161"/>
      <c r="VA6" s="161"/>
      <c r="VB6" s="161"/>
      <c r="VC6" s="161"/>
      <c r="VD6" s="161"/>
      <c r="VE6" s="161"/>
      <c r="VF6" s="161"/>
      <c r="VG6" s="161"/>
      <c r="VH6" s="161"/>
      <c r="VI6" s="161"/>
      <c r="VJ6" s="161"/>
      <c r="VK6" s="161"/>
      <c r="VL6" s="161"/>
      <c r="VM6" s="161"/>
      <c r="VN6" s="161"/>
      <c r="VO6" s="161"/>
      <c r="VP6" s="161"/>
      <c r="VQ6" s="161"/>
      <c r="VR6" s="161"/>
      <c r="VS6" s="161"/>
      <c r="VT6" s="161"/>
      <c r="VU6" s="161"/>
      <c r="VV6" s="161"/>
      <c r="VW6" s="161"/>
      <c r="VX6" s="161"/>
      <c r="VY6" s="161"/>
      <c r="VZ6" s="161"/>
      <c r="WA6" s="161"/>
      <c r="WB6" s="161"/>
      <c r="WC6" s="161"/>
      <c r="WD6" s="161"/>
      <c r="WE6" s="161"/>
      <c r="WF6" s="161"/>
      <c r="WG6" s="161"/>
      <c r="WH6" s="161"/>
      <c r="WI6" s="161"/>
      <c r="WJ6" s="161"/>
      <c r="WK6" s="161"/>
      <c r="WL6" s="161"/>
      <c r="WM6" s="161"/>
      <c r="WN6" s="161"/>
      <c r="WO6" s="161"/>
      <c r="WP6" s="161"/>
      <c r="WQ6" s="161"/>
      <c r="WR6" s="161"/>
      <c r="WS6" s="161"/>
      <c r="WT6" s="161"/>
      <c r="WU6" s="161"/>
      <c r="WV6" s="161"/>
      <c r="WW6" s="161"/>
      <c r="WX6" s="161"/>
      <c r="WY6" s="161"/>
      <c r="WZ6" s="161"/>
      <c r="XA6" s="161"/>
      <c r="XB6" s="161"/>
      <c r="XC6" s="161"/>
      <c r="XD6" s="161"/>
      <c r="XE6" s="161"/>
      <c r="XF6" s="161"/>
      <c r="XG6" s="161"/>
      <c r="XH6" s="161"/>
      <c r="XI6" s="161"/>
      <c r="XJ6" s="161"/>
      <c r="XK6" s="161"/>
      <c r="XL6" s="161"/>
      <c r="XM6" s="161"/>
      <c r="XN6" s="161"/>
      <c r="XO6" s="161"/>
      <c r="XP6" s="161"/>
      <c r="XQ6" s="161"/>
      <c r="XR6" s="161"/>
      <c r="XS6" s="161"/>
      <c r="XT6" s="161"/>
      <c r="XU6" s="161"/>
      <c r="XV6" s="161"/>
      <c r="XW6" s="161"/>
      <c r="XX6" s="161"/>
      <c r="XY6" s="161"/>
      <c r="XZ6" s="161"/>
      <c r="YA6" s="161"/>
      <c r="YB6" s="161"/>
      <c r="YC6" s="161"/>
      <c r="YD6" s="161"/>
      <c r="YE6" s="161"/>
      <c r="YF6" s="161"/>
      <c r="YG6" s="161"/>
      <c r="YH6" s="161"/>
      <c r="YI6" s="161"/>
      <c r="YJ6" s="161"/>
      <c r="YK6" s="161"/>
      <c r="YL6" s="161"/>
      <c r="YM6" s="161"/>
      <c r="YN6" s="161"/>
      <c r="YO6" s="161"/>
      <c r="YP6" s="161"/>
      <c r="YQ6" s="161"/>
      <c r="YR6" s="161"/>
      <c r="YS6" s="161"/>
      <c r="YT6" s="161"/>
      <c r="YU6" s="161"/>
      <c r="YV6" s="161"/>
      <c r="YW6" s="161"/>
      <c r="YX6" s="161"/>
      <c r="YY6" s="161"/>
      <c r="YZ6" s="161"/>
      <c r="ZA6" s="161"/>
      <c r="ZB6" s="161"/>
      <c r="ZC6" s="161"/>
      <c r="ZD6" s="161"/>
      <c r="ZE6" s="161"/>
      <c r="ZF6" s="161"/>
      <c r="ZG6" s="161"/>
      <c r="ZH6" s="161"/>
      <c r="ZI6" s="161"/>
      <c r="ZJ6" s="161"/>
      <c r="ZK6" s="161"/>
      <c r="ZL6" s="161"/>
      <c r="ZM6" s="161"/>
      <c r="ZN6" s="161"/>
      <c r="ZO6" s="161"/>
      <c r="ZP6" s="161"/>
      <c r="ZQ6" s="161"/>
      <c r="ZR6" s="161"/>
      <c r="ZS6" s="161"/>
      <c r="ZT6" s="161"/>
      <c r="ZU6" s="161"/>
      <c r="ZV6" s="161"/>
      <c r="ZW6" s="161"/>
      <c r="ZX6" s="161"/>
      <c r="ZY6" s="161"/>
      <c r="ZZ6" s="161"/>
      <c r="AAA6" s="161"/>
      <c r="AAB6" s="161"/>
      <c r="AAC6" s="161"/>
      <c r="AAD6" s="161"/>
      <c r="AAE6" s="161"/>
      <c r="AAF6" s="161"/>
      <c r="AAG6" s="161"/>
      <c r="AAH6" s="161"/>
      <c r="AAI6" s="161"/>
      <c r="AAJ6" s="161"/>
      <c r="AAK6" s="161"/>
      <c r="AAL6" s="161"/>
      <c r="AAM6" s="161"/>
      <c r="AAN6" s="161"/>
      <c r="AAO6" s="161"/>
      <c r="AAP6" s="161"/>
      <c r="AAQ6" s="161"/>
      <c r="AAR6" s="161"/>
      <c r="AAS6" s="161"/>
      <c r="AAT6" s="161"/>
      <c r="AAU6" s="161"/>
      <c r="AAV6" s="161"/>
      <c r="AAW6" s="161"/>
      <c r="AAX6" s="161"/>
      <c r="AAY6" s="161"/>
      <c r="AAZ6" s="161"/>
      <c r="ABA6" s="161"/>
      <c r="ABB6" s="161"/>
      <c r="ABC6" s="161"/>
      <c r="ABD6" s="161"/>
      <c r="ABE6" s="161"/>
      <c r="ABF6" s="161"/>
      <c r="ABG6" s="161"/>
      <c r="ABH6" s="161"/>
      <c r="ABI6" s="161"/>
      <c r="ABJ6" s="161"/>
      <c r="ABK6" s="161"/>
      <c r="ABL6" s="161"/>
      <c r="ABM6" s="161"/>
      <c r="ABN6" s="161"/>
      <c r="ABO6" s="161"/>
      <c r="ABP6" s="161"/>
      <c r="ABQ6" s="161"/>
      <c r="ABR6" s="161"/>
      <c r="ABS6" s="161"/>
      <c r="ABT6" s="161"/>
      <c r="ABU6" s="161"/>
      <c r="ABV6" s="161"/>
      <c r="ABW6" s="161"/>
      <c r="ABX6" s="161"/>
      <c r="ABY6" s="161"/>
      <c r="ABZ6" s="161"/>
      <c r="ACA6" s="161"/>
      <c r="ACB6" s="161"/>
      <c r="ACC6" s="161"/>
      <c r="ACD6" s="161"/>
      <c r="ACE6" s="161"/>
      <c r="ACF6" s="161"/>
      <c r="ACG6" s="161"/>
      <c r="ACH6" s="161"/>
      <c r="ACI6" s="161"/>
      <c r="ACJ6" s="161"/>
      <c r="ACK6" s="161"/>
      <c r="ACL6" s="161"/>
      <c r="ACM6" s="161"/>
      <c r="ACN6" s="161"/>
      <c r="ACO6" s="161"/>
      <c r="ACP6" s="161"/>
      <c r="ACQ6" s="161"/>
      <c r="ACR6" s="161"/>
      <c r="ACS6" s="161"/>
      <c r="ACT6" s="161"/>
      <c r="ACU6" s="161"/>
      <c r="ACV6" s="161"/>
      <c r="ACW6" s="161"/>
      <c r="ACX6" s="161"/>
      <c r="ACY6" s="161"/>
      <c r="ACZ6" s="161"/>
      <c r="ADA6" s="161"/>
      <c r="ADB6" s="161"/>
      <c r="ADC6" s="161"/>
      <c r="ADD6" s="161"/>
      <c r="ADE6" s="161"/>
      <c r="ADF6" s="161"/>
      <c r="ADG6" s="161"/>
      <c r="ADH6" s="161"/>
      <c r="ADI6" s="161"/>
      <c r="ADJ6" s="161"/>
      <c r="ADK6" s="161"/>
      <c r="ADL6" s="161"/>
      <c r="ADM6" s="161"/>
      <c r="ADN6" s="161"/>
      <c r="ADO6" s="161"/>
      <c r="ADP6" s="161"/>
      <c r="ADQ6" s="161"/>
      <c r="ADR6" s="161"/>
      <c r="ADS6" s="161"/>
      <c r="ADT6" s="161"/>
      <c r="ADU6" s="161"/>
      <c r="ADV6" s="161"/>
      <c r="ADW6" s="161"/>
      <c r="ADX6" s="161"/>
      <c r="ADY6" s="161"/>
      <c r="ADZ6" s="161"/>
      <c r="AEA6" s="161"/>
      <c r="AEB6" s="161"/>
      <c r="AEC6" s="161"/>
      <c r="AED6" s="161"/>
      <c r="AEE6" s="161"/>
      <c r="AEF6" s="161"/>
      <c r="AEG6" s="161"/>
      <c r="AEH6" s="161"/>
      <c r="AEI6" s="161"/>
      <c r="AEJ6" s="161"/>
      <c r="AEK6" s="161"/>
      <c r="AEL6" s="161"/>
      <c r="AEM6" s="161"/>
      <c r="AEN6" s="161"/>
      <c r="AEO6" s="161"/>
      <c r="AEP6" s="161"/>
      <c r="AEQ6" s="161"/>
      <c r="AER6" s="161"/>
      <c r="AES6" s="161"/>
      <c r="AET6" s="161"/>
      <c r="AEU6" s="161"/>
      <c r="AEV6" s="161"/>
      <c r="AEW6" s="161"/>
      <c r="AEX6" s="161"/>
      <c r="AEY6" s="161"/>
      <c r="AEZ6" s="161"/>
      <c r="AFA6" s="161"/>
      <c r="AFB6" s="161"/>
      <c r="AFC6" s="161"/>
      <c r="AFD6" s="161"/>
      <c r="AFE6" s="161"/>
      <c r="AFF6" s="161"/>
      <c r="AFG6" s="161"/>
      <c r="AFH6" s="161"/>
      <c r="AFI6" s="161"/>
      <c r="AFJ6" s="161"/>
      <c r="AFK6" s="161"/>
      <c r="AFL6" s="161"/>
      <c r="AFM6" s="161"/>
      <c r="AFN6" s="161"/>
      <c r="AFO6" s="161"/>
      <c r="AFP6" s="161"/>
      <c r="AFQ6" s="161"/>
      <c r="AFR6" s="161"/>
      <c r="AFS6" s="161"/>
      <c r="AFT6" s="161"/>
      <c r="AFU6" s="161"/>
      <c r="AFV6" s="161"/>
      <c r="AFW6" s="161"/>
      <c r="AFX6" s="161"/>
      <c r="AFY6" s="161"/>
      <c r="AFZ6" s="161"/>
      <c r="AGA6" s="161"/>
      <c r="AGB6" s="161"/>
      <c r="AGC6" s="161"/>
      <c r="AGD6" s="161"/>
      <c r="AGE6" s="161"/>
      <c r="AGF6" s="161"/>
      <c r="AGG6" s="161"/>
      <c r="AGH6" s="161"/>
      <c r="AGI6" s="161"/>
      <c r="AGJ6" s="161"/>
      <c r="AGK6" s="161"/>
      <c r="AGL6" s="161"/>
      <c r="AGM6" s="161"/>
      <c r="AGN6" s="161"/>
      <c r="AGO6" s="161"/>
      <c r="AGP6" s="161"/>
      <c r="AGQ6" s="161"/>
      <c r="AGR6" s="161"/>
      <c r="AGS6" s="161"/>
      <c r="AGT6" s="161"/>
      <c r="AGU6" s="161"/>
      <c r="AGV6" s="161"/>
      <c r="AGW6" s="161"/>
      <c r="AGX6" s="161"/>
      <c r="AGY6" s="161"/>
      <c r="AGZ6" s="161"/>
      <c r="AHA6" s="161"/>
      <c r="AHB6" s="161"/>
      <c r="AHC6" s="161"/>
      <c r="AHD6" s="161"/>
      <c r="AHE6" s="161"/>
      <c r="AHF6" s="161"/>
      <c r="AHG6" s="161"/>
      <c r="AHH6" s="161"/>
      <c r="AHI6" s="161"/>
      <c r="AHJ6" s="161"/>
      <c r="AHK6" s="161"/>
      <c r="AHL6" s="161"/>
      <c r="AHM6" s="161"/>
      <c r="AHN6" s="161"/>
      <c r="AHO6" s="161"/>
      <c r="AHP6" s="161"/>
      <c r="AHQ6" s="161"/>
      <c r="AHR6" s="161"/>
      <c r="AHS6" s="161"/>
      <c r="AHT6" s="161"/>
      <c r="AHU6" s="161"/>
      <c r="AHV6" s="161"/>
      <c r="AHW6" s="161"/>
      <c r="AHX6" s="161"/>
      <c r="AHY6" s="161"/>
      <c r="AHZ6" s="161"/>
      <c r="AIA6" s="161"/>
      <c r="AIB6" s="161"/>
      <c r="AIC6" s="161"/>
      <c r="AID6" s="161"/>
      <c r="AIE6" s="161"/>
      <c r="AIF6" s="161"/>
      <c r="AIG6" s="161"/>
      <c r="AIH6" s="161"/>
      <c r="AII6" s="161"/>
      <c r="AIJ6" s="161"/>
      <c r="AIK6" s="161"/>
      <c r="AIL6" s="161"/>
      <c r="AIM6" s="161"/>
      <c r="AIN6" s="161"/>
      <c r="AIO6" s="161"/>
      <c r="AIP6" s="161"/>
      <c r="AIQ6" s="161"/>
      <c r="AIR6" s="161"/>
      <c r="AIS6" s="161"/>
      <c r="AIT6" s="161"/>
      <c r="AIU6" s="161"/>
      <c r="AIV6" s="161"/>
      <c r="AIW6" s="161"/>
      <c r="AIX6" s="161"/>
      <c r="AIY6" s="161"/>
      <c r="AIZ6" s="161"/>
      <c r="AJA6" s="161"/>
      <c r="AJB6" s="161"/>
      <c r="AJC6" s="161"/>
      <c r="AJD6" s="161"/>
      <c r="AJE6" s="161"/>
      <c r="AJF6" s="161"/>
      <c r="AJG6" s="161"/>
      <c r="AJH6" s="161"/>
      <c r="AJI6" s="161"/>
      <c r="AJJ6" s="161"/>
      <c r="AJK6" s="161"/>
      <c r="AJL6" s="161"/>
      <c r="AJM6" s="161"/>
      <c r="AJN6" s="161"/>
      <c r="AJO6" s="161"/>
      <c r="AJP6" s="161"/>
      <c r="AJQ6" s="161"/>
      <c r="AJR6" s="161"/>
      <c r="AJS6" s="161"/>
      <c r="AJT6" s="161"/>
      <c r="AJU6" s="161"/>
      <c r="AJV6" s="161"/>
      <c r="AJW6" s="161"/>
      <c r="AJX6" s="161"/>
      <c r="AJY6" s="161"/>
      <c r="AJZ6" s="161"/>
      <c r="AKA6" s="161"/>
      <c r="AKB6" s="161"/>
      <c r="AKC6" s="161"/>
      <c r="AKD6" s="161"/>
      <c r="AKE6" s="161"/>
      <c r="AKF6" s="161"/>
      <c r="AKG6" s="161"/>
      <c r="AKH6" s="161"/>
      <c r="AKI6" s="161"/>
      <c r="AKJ6" s="161"/>
      <c r="AKK6" s="161"/>
      <c r="AKL6" s="161"/>
      <c r="AKM6" s="161"/>
      <c r="AKN6" s="161"/>
      <c r="AKO6" s="161"/>
      <c r="AKP6" s="161"/>
      <c r="AKQ6" s="161"/>
      <c r="AKR6" s="161"/>
      <c r="AKS6" s="161"/>
      <c r="AKT6" s="161"/>
      <c r="AKU6" s="161"/>
      <c r="AKV6" s="161"/>
      <c r="AKW6" s="161"/>
      <c r="AKX6" s="161"/>
      <c r="AKY6" s="161"/>
      <c r="AKZ6" s="161"/>
      <c r="ALA6" s="161"/>
      <c r="ALB6" s="161"/>
      <c r="ALC6" s="161"/>
      <c r="ALD6" s="161"/>
      <c r="ALE6" s="161"/>
      <c r="ALF6" s="161"/>
      <c r="ALG6" s="161"/>
      <c r="ALH6" s="161"/>
      <c r="ALI6" s="161"/>
      <c r="ALJ6" s="161"/>
      <c r="ALK6" s="161"/>
      <c r="ALL6" s="161"/>
      <c r="ALM6" s="161"/>
      <c r="ALN6" s="161"/>
      <c r="ALO6" s="161"/>
      <c r="ALP6" s="161"/>
      <c r="ALQ6" s="161"/>
      <c r="ALR6" s="161"/>
      <c r="ALS6" s="161"/>
      <c r="ALT6" s="161"/>
      <c r="ALU6" s="161"/>
      <c r="ALV6" s="161"/>
      <c r="ALW6" s="161"/>
      <c r="ALX6" s="161"/>
      <c r="ALY6" s="161"/>
      <c r="ALZ6" s="161"/>
      <c r="AMA6" s="161"/>
      <c r="AMB6" s="161"/>
      <c r="AMC6" s="161"/>
      <c r="AMD6" s="161"/>
      <c r="AME6" s="161"/>
      <c r="AMF6" s="161"/>
      <c r="AMG6" s="161"/>
      <c r="AMH6" s="161"/>
    </row>
    <row r="7" spans="1:1022" ht="15.6">
      <c r="A7" s="165" t="s">
        <v>669</v>
      </c>
      <c r="B7" s="166" t="s">
        <v>474</v>
      </c>
      <c r="C7" s="161"/>
      <c r="D7" s="161"/>
      <c r="E7" s="161"/>
      <c r="F7" s="161"/>
      <c r="G7" s="161"/>
      <c r="H7" s="162"/>
      <c r="I7" s="161"/>
      <c r="J7" s="161"/>
      <c r="K7" s="161"/>
      <c r="L7" s="161"/>
      <c r="M7" s="161"/>
      <c r="N7" s="162"/>
      <c r="O7" s="162"/>
      <c r="P7" s="162"/>
      <c r="Q7" s="162"/>
      <c r="R7" s="161"/>
      <c r="S7" s="162"/>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c r="AFN7" s="161"/>
      <c r="AFO7" s="161"/>
      <c r="AFP7" s="161"/>
      <c r="AFQ7" s="161"/>
      <c r="AFR7" s="161"/>
      <c r="AFS7" s="161"/>
      <c r="AFT7" s="161"/>
      <c r="AFU7" s="161"/>
      <c r="AFV7" s="161"/>
      <c r="AFW7" s="161"/>
      <c r="AFX7" s="161"/>
      <c r="AFY7" s="161"/>
      <c r="AFZ7" s="161"/>
      <c r="AGA7" s="161"/>
      <c r="AGB7" s="161"/>
      <c r="AGC7" s="161"/>
      <c r="AGD7" s="161"/>
      <c r="AGE7" s="161"/>
      <c r="AGF7" s="161"/>
      <c r="AGG7" s="161"/>
      <c r="AGH7" s="161"/>
      <c r="AGI7" s="161"/>
      <c r="AGJ7" s="161"/>
      <c r="AGK7" s="161"/>
      <c r="AGL7" s="161"/>
      <c r="AGM7" s="161"/>
      <c r="AGN7" s="161"/>
      <c r="AGO7" s="161"/>
      <c r="AGP7" s="161"/>
      <c r="AGQ7" s="161"/>
      <c r="AGR7" s="161"/>
      <c r="AGS7" s="161"/>
      <c r="AGT7" s="161"/>
      <c r="AGU7" s="161"/>
      <c r="AGV7" s="161"/>
      <c r="AGW7" s="161"/>
      <c r="AGX7" s="161"/>
      <c r="AGY7" s="161"/>
      <c r="AGZ7" s="161"/>
      <c r="AHA7" s="161"/>
      <c r="AHB7" s="161"/>
      <c r="AHC7" s="161"/>
      <c r="AHD7" s="161"/>
      <c r="AHE7" s="161"/>
      <c r="AHF7" s="161"/>
      <c r="AHG7" s="161"/>
      <c r="AHH7" s="161"/>
      <c r="AHI7" s="161"/>
      <c r="AHJ7" s="161"/>
      <c r="AHK7" s="161"/>
      <c r="AHL7" s="161"/>
      <c r="AHM7" s="161"/>
      <c r="AHN7" s="161"/>
      <c r="AHO7" s="161"/>
      <c r="AHP7" s="161"/>
      <c r="AHQ7" s="161"/>
      <c r="AHR7" s="161"/>
      <c r="AHS7" s="161"/>
      <c r="AHT7" s="161"/>
      <c r="AHU7" s="161"/>
      <c r="AHV7" s="161"/>
      <c r="AHW7" s="161"/>
      <c r="AHX7" s="161"/>
      <c r="AHY7" s="161"/>
      <c r="AHZ7" s="161"/>
      <c r="AIA7" s="161"/>
      <c r="AIB7" s="161"/>
      <c r="AIC7" s="161"/>
      <c r="AID7" s="161"/>
      <c r="AIE7" s="161"/>
      <c r="AIF7" s="161"/>
      <c r="AIG7" s="161"/>
      <c r="AIH7" s="161"/>
      <c r="AII7" s="161"/>
      <c r="AIJ7" s="161"/>
      <c r="AIK7" s="161"/>
      <c r="AIL7" s="161"/>
      <c r="AIM7" s="161"/>
      <c r="AIN7" s="161"/>
      <c r="AIO7" s="161"/>
      <c r="AIP7" s="161"/>
      <c r="AIQ7" s="161"/>
      <c r="AIR7" s="161"/>
      <c r="AIS7" s="161"/>
      <c r="AIT7" s="161"/>
      <c r="AIU7" s="161"/>
      <c r="AIV7" s="161"/>
      <c r="AIW7" s="161"/>
      <c r="AIX7" s="161"/>
      <c r="AIY7" s="161"/>
      <c r="AIZ7" s="161"/>
      <c r="AJA7" s="161"/>
      <c r="AJB7" s="161"/>
      <c r="AJC7" s="161"/>
      <c r="AJD7" s="161"/>
      <c r="AJE7" s="161"/>
      <c r="AJF7" s="161"/>
      <c r="AJG7" s="161"/>
      <c r="AJH7" s="161"/>
      <c r="AJI7" s="161"/>
      <c r="AJJ7" s="161"/>
      <c r="AJK7" s="161"/>
      <c r="AJL7" s="161"/>
      <c r="AJM7" s="161"/>
      <c r="AJN7" s="161"/>
      <c r="AJO7" s="161"/>
      <c r="AJP7" s="161"/>
      <c r="AJQ7" s="161"/>
      <c r="AJR7" s="161"/>
      <c r="AJS7" s="161"/>
      <c r="AJT7" s="161"/>
      <c r="AJU7" s="161"/>
      <c r="AJV7" s="161"/>
      <c r="AJW7" s="161"/>
      <c r="AJX7" s="161"/>
      <c r="AJY7" s="161"/>
      <c r="AJZ7" s="161"/>
      <c r="AKA7" s="161"/>
      <c r="AKB7" s="161"/>
      <c r="AKC7" s="161"/>
      <c r="AKD7" s="161"/>
      <c r="AKE7" s="161"/>
      <c r="AKF7" s="161"/>
      <c r="AKG7" s="161"/>
      <c r="AKH7" s="161"/>
      <c r="AKI7" s="161"/>
      <c r="AKJ7" s="161"/>
      <c r="AKK7" s="161"/>
      <c r="AKL7" s="161"/>
      <c r="AKM7" s="161"/>
      <c r="AKN7" s="161"/>
      <c r="AKO7" s="161"/>
      <c r="AKP7" s="161"/>
      <c r="AKQ7" s="161"/>
      <c r="AKR7" s="161"/>
      <c r="AKS7" s="161"/>
      <c r="AKT7" s="161"/>
      <c r="AKU7" s="161"/>
      <c r="AKV7" s="161"/>
      <c r="AKW7" s="161"/>
      <c r="AKX7" s="161"/>
      <c r="AKY7" s="161"/>
      <c r="AKZ7" s="161"/>
      <c r="ALA7" s="161"/>
      <c r="ALB7" s="161"/>
      <c r="ALC7" s="161"/>
      <c r="ALD7" s="161"/>
      <c r="ALE7" s="161"/>
      <c r="ALF7" s="161"/>
      <c r="ALG7" s="161"/>
      <c r="ALH7" s="161"/>
      <c r="ALI7" s="161"/>
      <c r="ALJ7" s="161"/>
      <c r="ALK7" s="161"/>
      <c r="ALL7" s="161"/>
      <c r="ALM7" s="161"/>
      <c r="ALN7" s="161"/>
      <c r="ALO7" s="161"/>
      <c r="ALP7" s="161"/>
      <c r="ALQ7" s="161"/>
      <c r="ALR7" s="161"/>
      <c r="ALS7" s="161"/>
      <c r="ALT7" s="161"/>
      <c r="ALU7" s="161"/>
      <c r="ALV7" s="161"/>
      <c r="ALW7" s="161"/>
      <c r="ALX7" s="161"/>
      <c r="ALY7" s="161"/>
      <c r="ALZ7" s="161"/>
      <c r="AMA7" s="161"/>
      <c r="AMB7" s="161"/>
      <c r="AMC7" s="161"/>
      <c r="AMD7" s="161"/>
      <c r="AME7" s="161"/>
      <c r="AMF7" s="161"/>
      <c r="AMG7" s="161"/>
      <c r="AMH7" s="161"/>
    </row>
    <row r="8" spans="1:1022" ht="15.6">
      <c r="A8" s="165" t="s">
        <v>670</v>
      </c>
      <c r="B8" s="166" t="s">
        <v>671</v>
      </c>
      <c r="C8" s="161"/>
      <c r="D8" s="161"/>
      <c r="E8" s="161"/>
      <c r="F8" s="161"/>
      <c r="G8" s="161"/>
      <c r="H8" s="162"/>
      <c r="I8" s="161"/>
      <c r="J8" s="161"/>
      <c r="K8" s="161"/>
      <c r="L8" s="161"/>
      <c r="M8" s="161"/>
      <c r="N8" s="162"/>
      <c r="O8" s="162"/>
      <c r="P8" s="162"/>
      <c r="Q8" s="162"/>
      <c r="R8" s="161"/>
      <c r="S8" s="162"/>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61"/>
      <c r="ER8" s="161"/>
      <c r="ES8" s="161"/>
      <c r="ET8" s="161"/>
      <c r="EU8" s="161"/>
      <c r="EV8" s="161"/>
      <c r="EW8" s="161"/>
      <c r="EX8" s="161"/>
      <c r="EY8" s="161"/>
      <c r="EZ8" s="161"/>
      <c r="FA8" s="161"/>
      <c r="FB8" s="161"/>
      <c r="FC8" s="161"/>
      <c r="FD8" s="161"/>
      <c r="FE8" s="161"/>
      <c r="FF8" s="161"/>
      <c r="FG8" s="161"/>
      <c r="FH8" s="161"/>
      <c r="FI8" s="161"/>
      <c r="FJ8" s="161"/>
      <c r="FK8" s="161"/>
      <c r="FL8" s="161"/>
      <c r="FM8" s="161"/>
      <c r="FN8" s="161"/>
      <c r="FO8" s="161"/>
      <c r="FP8" s="161"/>
      <c r="FQ8" s="161"/>
      <c r="FR8" s="161"/>
      <c r="FS8" s="161"/>
      <c r="FT8" s="161"/>
      <c r="FU8" s="161"/>
      <c r="FV8" s="161"/>
      <c r="FW8" s="161"/>
      <c r="FX8" s="161"/>
      <c r="FY8" s="161"/>
      <c r="FZ8" s="161"/>
      <c r="GA8" s="161"/>
      <c r="GB8" s="161"/>
      <c r="GC8" s="161"/>
      <c r="GD8" s="161"/>
      <c r="GE8" s="161"/>
      <c r="GF8" s="161"/>
      <c r="GG8" s="161"/>
      <c r="GH8" s="161"/>
      <c r="GI8" s="161"/>
      <c r="GJ8" s="161"/>
      <c r="GK8" s="161"/>
      <c r="GL8" s="161"/>
      <c r="GM8" s="161"/>
      <c r="GN8" s="161"/>
      <c r="GO8" s="161"/>
      <c r="GP8" s="161"/>
      <c r="GQ8" s="161"/>
      <c r="GR8" s="161"/>
      <c r="GS8" s="161"/>
      <c r="GT8" s="161"/>
      <c r="GU8" s="161"/>
      <c r="GV8" s="161"/>
      <c r="GW8" s="161"/>
      <c r="GX8" s="161"/>
      <c r="GY8" s="161"/>
      <c r="GZ8" s="161"/>
      <c r="HA8" s="161"/>
      <c r="HB8" s="161"/>
      <c r="HC8" s="161"/>
      <c r="HD8" s="161"/>
      <c r="HE8" s="161"/>
      <c r="HF8" s="161"/>
      <c r="HG8" s="161"/>
      <c r="HH8" s="161"/>
      <c r="HI8" s="161"/>
      <c r="HJ8" s="161"/>
      <c r="HK8" s="161"/>
      <c r="HL8" s="161"/>
      <c r="HM8" s="161"/>
      <c r="HN8" s="161"/>
      <c r="HO8" s="161"/>
      <c r="HP8" s="161"/>
      <c r="HQ8" s="161"/>
      <c r="HR8" s="161"/>
      <c r="HS8" s="161"/>
      <c r="HT8" s="161"/>
      <c r="HU8" s="161"/>
      <c r="HV8" s="161"/>
      <c r="HW8" s="161"/>
      <c r="HX8" s="161"/>
      <c r="HY8" s="161"/>
      <c r="HZ8" s="161"/>
      <c r="IA8" s="161"/>
      <c r="IB8" s="161"/>
      <c r="IC8" s="161"/>
      <c r="ID8" s="161"/>
      <c r="IE8" s="161"/>
      <c r="IF8" s="161"/>
      <c r="IG8" s="161"/>
      <c r="IH8" s="161"/>
      <c r="II8" s="161"/>
      <c r="IJ8" s="161"/>
      <c r="IK8" s="161"/>
      <c r="IL8" s="161"/>
      <c r="IM8" s="161"/>
      <c r="IN8" s="161"/>
      <c r="IO8" s="161"/>
      <c r="IP8" s="161"/>
      <c r="IQ8" s="161"/>
      <c r="IR8" s="161"/>
      <c r="IS8" s="161"/>
      <c r="IT8" s="161"/>
      <c r="IU8" s="161"/>
      <c r="IV8" s="161"/>
      <c r="IW8" s="161"/>
      <c r="IX8" s="161"/>
      <c r="IY8" s="161"/>
      <c r="IZ8" s="161"/>
      <c r="JA8" s="161"/>
      <c r="JB8" s="161"/>
      <c r="JC8" s="161"/>
      <c r="JD8" s="161"/>
      <c r="JE8" s="161"/>
      <c r="JF8" s="161"/>
      <c r="JG8" s="161"/>
      <c r="JH8" s="161"/>
      <c r="JI8" s="161"/>
      <c r="JJ8" s="161"/>
      <c r="JK8" s="161"/>
      <c r="JL8" s="161"/>
      <c r="JM8" s="161"/>
      <c r="JN8" s="161"/>
      <c r="JO8" s="161"/>
      <c r="JP8" s="161"/>
      <c r="JQ8" s="161"/>
      <c r="JR8" s="161"/>
      <c r="JS8" s="161"/>
      <c r="JT8" s="161"/>
      <c r="JU8" s="161"/>
      <c r="JV8" s="161"/>
      <c r="JW8" s="161"/>
      <c r="JX8" s="161"/>
      <c r="JY8" s="161"/>
      <c r="JZ8" s="161"/>
      <c r="KA8" s="161"/>
      <c r="KB8" s="161"/>
      <c r="KC8" s="161"/>
      <c r="KD8" s="161"/>
      <c r="KE8" s="161"/>
      <c r="KF8" s="161"/>
      <c r="KG8" s="161"/>
      <c r="KH8" s="161"/>
      <c r="KI8" s="161"/>
      <c r="KJ8" s="161"/>
      <c r="KK8" s="161"/>
      <c r="KL8" s="161"/>
      <c r="KM8" s="161"/>
      <c r="KN8" s="161"/>
      <c r="KO8" s="161"/>
      <c r="KP8" s="161"/>
      <c r="KQ8" s="161"/>
      <c r="KR8" s="161"/>
      <c r="KS8" s="161"/>
      <c r="KT8" s="161"/>
      <c r="KU8" s="161"/>
      <c r="KV8" s="161"/>
      <c r="KW8" s="161"/>
      <c r="KX8" s="161"/>
      <c r="KY8" s="161"/>
      <c r="KZ8" s="161"/>
      <c r="LA8" s="161"/>
      <c r="LB8" s="161"/>
      <c r="LC8" s="161"/>
      <c r="LD8" s="161"/>
      <c r="LE8" s="161"/>
      <c r="LF8" s="161"/>
      <c r="LG8" s="161"/>
      <c r="LH8" s="161"/>
      <c r="LI8" s="161"/>
      <c r="LJ8" s="161"/>
      <c r="LK8" s="161"/>
      <c r="LL8" s="161"/>
      <c r="LM8" s="161"/>
      <c r="LN8" s="161"/>
      <c r="LO8" s="161"/>
      <c r="LP8" s="161"/>
      <c r="LQ8" s="161"/>
      <c r="LR8" s="161"/>
      <c r="LS8" s="161"/>
      <c r="LT8" s="161"/>
      <c r="LU8" s="161"/>
      <c r="LV8" s="161"/>
      <c r="LW8" s="161"/>
      <c r="LX8" s="161"/>
      <c r="LY8" s="161"/>
      <c r="LZ8" s="161"/>
      <c r="MA8" s="161"/>
      <c r="MB8" s="161"/>
      <c r="MC8" s="161"/>
      <c r="MD8" s="161"/>
      <c r="ME8" s="161"/>
      <c r="MF8" s="161"/>
      <c r="MG8" s="161"/>
      <c r="MH8" s="161"/>
      <c r="MI8" s="161"/>
      <c r="MJ8" s="161"/>
      <c r="MK8" s="161"/>
      <c r="ML8" s="161"/>
      <c r="MM8" s="161"/>
      <c r="MN8" s="161"/>
      <c r="MO8" s="161"/>
      <c r="MP8" s="161"/>
      <c r="MQ8" s="161"/>
      <c r="MR8" s="161"/>
      <c r="MS8" s="161"/>
      <c r="MT8" s="161"/>
      <c r="MU8" s="161"/>
      <c r="MV8" s="161"/>
      <c r="MW8" s="161"/>
      <c r="MX8" s="161"/>
      <c r="MY8" s="161"/>
      <c r="MZ8" s="161"/>
      <c r="NA8" s="161"/>
      <c r="NB8" s="161"/>
      <c r="NC8" s="161"/>
      <c r="ND8" s="161"/>
      <c r="NE8" s="161"/>
      <c r="NF8" s="161"/>
      <c r="NG8" s="161"/>
      <c r="NH8" s="161"/>
      <c r="NI8" s="161"/>
      <c r="NJ8" s="161"/>
      <c r="NK8" s="161"/>
      <c r="NL8" s="161"/>
      <c r="NM8" s="161"/>
      <c r="NN8" s="161"/>
      <c r="NO8" s="161"/>
      <c r="NP8" s="161"/>
      <c r="NQ8" s="161"/>
      <c r="NR8" s="161"/>
      <c r="NS8" s="161"/>
      <c r="NT8" s="161"/>
      <c r="NU8" s="161"/>
      <c r="NV8" s="161"/>
      <c r="NW8" s="161"/>
      <c r="NX8" s="161"/>
      <c r="NY8" s="161"/>
      <c r="NZ8" s="161"/>
      <c r="OA8" s="161"/>
      <c r="OB8" s="161"/>
      <c r="OC8" s="161"/>
      <c r="OD8" s="161"/>
      <c r="OE8" s="161"/>
      <c r="OF8" s="161"/>
      <c r="OG8" s="161"/>
      <c r="OH8" s="161"/>
      <c r="OI8" s="161"/>
      <c r="OJ8" s="161"/>
      <c r="OK8" s="161"/>
      <c r="OL8" s="161"/>
      <c r="OM8" s="161"/>
      <c r="ON8" s="161"/>
      <c r="OO8" s="161"/>
      <c r="OP8" s="161"/>
      <c r="OQ8" s="161"/>
      <c r="OR8" s="161"/>
      <c r="OS8" s="161"/>
      <c r="OT8" s="161"/>
      <c r="OU8" s="161"/>
      <c r="OV8" s="161"/>
      <c r="OW8" s="161"/>
      <c r="OX8" s="161"/>
      <c r="OY8" s="161"/>
      <c r="OZ8" s="161"/>
      <c r="PA8" s="161"/>
      <c r="PB8" s="161"/>
      <c r="PC8" s="161"/>
      <c r="PD8" s="161"/>
      <c r="PE8" s="161"/>
      <c r="PF8" s="161"/>
      <c r="PG8" s="161"/>
      <c r="PH8" s="161"/>
      <c r="PI8" s="161"/>
      <c r="PJ8" s="161"/>
      <c r="PK8" s="161"/>
      <c r="PL8" s="161"/>
      <c r="PM8" s="161"/>
      <c r="PN8" s="161"/>
      <c r="PO8" s="161"/>
      <c r="PP8" s="161"/>
      <c r="PQ8" s="161"/>
      <c r="PR8" s="161"/>
      <c r="PS8" s="161"/>
      <c r="PT8" s="161"/>
      <c r="PU8" s="161"/>
      <c r="PV8" s="161"/>
      <c r="PW8" s="161"/>
      <c r="PX8" s="161"/>
      <c r="PY8" s="161"/>
      <c r="PZ8" s="161"/>
      <c r="QA8" s="161"/>
      <c r="QB8" s="161"/>
      <c r="QC8" s="161"/>
      <c r="QD8" s="161"/>
      <c r="QE8" s="161"/>
      <c r="QF8" s="161"/>
      <c r="QG8" s="161"/>
      <c r="QH8" s="161"/>
      <c r="QI8" s="161"/>
      <c r="QJ8" s="161"/>
      <c r="QK8" s="161"/>
      <c r="QL8" s="161"/>
      <c r="QM8" s="161"/>
      <c r="QN8" s="161"/>
      <c r="QO8" s="161"/>
      <c r="QP8" s="161"/>
      <c r="QQ8" s="161"/>
      <c r="QR8" s="161"/>
      <c r="QS8" s="161"/>
      <c r="QT8" s="161"/>
      <c r="QU8" s="161"/>
      <c r="QV8" s="161"/>
      <c r="QW8" s="161"/>
      <c r="QX8" s="161"/>
      <c r="QY8" s="161"/>
      <c r="QZ8" s="161"/>
      <c r="RA8" s="161"/>
      <c r="RB8" s="161"/>
      <c r="RC8" s="161"/>
      <c r="RD8" s="161"/>
      <c r="RE8" s="161"/>
      <c r="RF8" s="161"/>
      <c r="RG8" s="161"/>
      <c r="RH8" s="161"/>
      <c r="RI8" s="161"/>
      <c r="RJ8" s="161"/>
      <c r="RK8" s="161"/>
      <c r="RL8" s="161"/>
      <c r="RM8" s="161"/>
      <c r="RN8" s="161"/>
      <c r="RO8" s="161"/>
      <c r="RP8" s="161"/>
      <c r="RQ8" s="161"/>
      <c r="RR8" s="161"/>
      <c r="RS8" s="161"/>
      <c r="RT8" s="161"/>
      <c r="RU8" s="161"/>
      <c r="RV8" s="161"/>
      <c r="RW8" s="161"/>
      <c r="RX8" s="161"/>
      <c r="RY8" s="161"/>
      <c r="RZ8" s="161"/>
      <c r="SA8" s="161"/>
      <c r="SB8" s="161"/>
      <c r="SC8" s="161"/>
      <c r="SD8" s="161"/>
      <c r="SE8" s="161"/>
      <c r="SF8" s="161"/>
      <c r="SG8" s="161"/>
      <c r="SH8" s="161"/>
      <c r="SI8" s="161"/>
      <c r="SJ8" s="161"/>
      <c r="SK8" s="161"/>
      <c r="SL8" s="161"/>
      <c r="SM8" s="161"/>
      <c r="SN8" s="161"/>
      <c r="SO8" s="161"/>
      <c r="SP8" s="161"/>
      <c r="SQ8" s="161"/>
      <c r="SR8" s="161"/>
      <c r="SS8" s="161"/>
      <c r="ST8" s="161"/>
      <c r="SU8" s="161"/>
      <c r="SV8" s="161"/>
      <c r="SW8" s="161"/>
      <c r="SX8" s="161"/>
      <c r="SY8" s="161"/>
      <c r="SZ8" s="161"/>
      <c r="TA8" s="161"/>
      <c r="TB8" s="161"/>
      <c r="TC8" s="161"/>
      <c r="TD8" s="161"/>
      <c r="TE8" s="161"/>
      <c r="TF8" s="161"/>
      <c r="TG8" s="161"/>
      <c r="TH8" s="161"/>
      <c r="TI8" s="161"/>
      <c r="TJ8" s="161"/>
      <c r="TK8" s="161"/>
      <c r="TL8" s="161"/>
      <c r="TM8" s="161"/>
      <c r="TN8" s="161"/>
      <c r="TO8" s="161"/>
      <c r="TP8" s="161"/>
      <c r="TQ8" s="161"/>
      <c r="TR8" s="161"/>
      <c r="TS8" s="161"/>
      <c r="TT8" s="161"/>
      <c r="TU8" s="161"/>
      <c r="TV8" s="161"/>
      <c r="TW8" s="161"/>
      <c r="TX8" s="161"/>
      <c r="TY8" s="161"/>
      <c r="TZ8" s="161"/>
      <c r="UA8" s="161"/>
      <c r="UB8" s="161"/>
      <c r="UC8" s="161"/>
      <c r="UD8" s="161"/>
      <c r="UE8" s="161"/>
      <c r="UF8" s="161"/>
      <c r="UG8" s="161"/>
      <c r="UH8" s="161"/>
      <c r="UI8" s="161"/>
      <c r="UJ8" s="161"/>
      <c r="UK8" s="161"/>
      <c r="UL8" s="161"/>
      <c r="UM8" s="161"/>
      <c r="UN8" s="161"/>
      <c r="UO8" s="161"/>
      <c r="UP8" s="161"/>
      <c r="UQ8" s="161"/>
      <c r="UR8" s="161"/>
      <c r="US8" s="161"/>
      <c r="UT8" s="161"/>
      <c r="UU8" s="161"/>
      <c r="UV8" s="161"/>
      <c r="UW8" s="161"/>
      <c r="UX8" s="161"/>
      <c r="UY8" s="161"/>
      <c r="UZ8" s="161"/>
      <c r="VA8" s="161"/>
      <c r="VB8" s="161"/>
      <c r="VC8" s="161"/>
      <c r="VD8" s="161"/>
      <c r="VE8" s="161"/>
      <c r="VF8" s="161"/>
      <c r="VG8" s="161"/>
      <c r="VH8" s="161"/>
      <c r="VI8" s="161"/>
      <c r="VJ8" s="161"/>
      <c r="VK8" s="161"/>
      <c r="VL8" s="161"/>
      <c r="VM8" s="161"/>
      <c r="VN8" s="161"/>
      <c r="VO8" s="161"/>
      <c r="VP8" s="161"/>
      <c r="VQ8" s="161"/>
      <c r="VR8" s="161"/>
      <c r="VS8" s="161"/>
      <c r="VT8" s="161"/>
      <c r="VU8" s="161"/>
      <c r="VV8" s="161"/>
      <c r="VW8" s="161"/>
      <c r="VX8" s="161"/>
      <c r="VY8" s="161"/>
      <c r="VZ8" s="161"/>
      <c r="WA8" s="161"/>
      <c r="WB8" s="161"/>
      <c r="WC8" s="161"/>
      <c r="WD8" s="161"/>
      <c r="WE8" s="161"/>
      <c r="WF8" s="161"/>
      <c r="WG8" s="161"/>
      <c r="WH8" s="161"/>
      <c r="WI8" s="161"/>
      <c r="WJ8" s="161"/>
      <c r="WK8" s="161"/>
      <c r="WL8" s="161"/>
      <c r="WM8" s="161"/>
      <c r="WN8" s="161"/>
      <c r="WO8" s="161"/>
      <c r="WP8" s="161"/>
      <c r="WQ8" s="161"/>
      <c r="WR8" s="161"/>
      <c r="WS8" s="161"/>
      <c r="WT8" s="161"/>
      <c r="WU8" s="161"/>
      <c r="WV8" s="161"/>
      <c r="WW8" s="161"/>
      <c r="WX8" s="161"/>
      <c r="WY8" s="161"/>
      <c r="WZ8" s="161"/>
      <c r="XA8" s="161"/>
      <c r="XB8" s="161"/>
      <c r="XC8" s="161"/>
      <c r="XD8" s="161"/>
      <c r="XE8" s="161"/>
      <c r="XF8" s="161"/>
      <c r="XG8" s="161"/>
      <c r="XH8" s="161"/>
      <c r="XI8" s="161"/>
      <c r="XJ8" s="161"/>
      <c r="XK8" s="161"/>
      <c r="XL8" s="161"/>
      <c r="XM8" s="161"/>
      <c r="XN8" s="161"/>
      <c r="XO8" s="161"/>
      <c r="XP8" s="161"/>
      <c r="XQ8" s="161"/>
      <c r="XR8" s="161"/>
      <c r="XS8" s="161"/>
      <c r="XT8" s="161"/>
      <c r="XU8" s="161"/>
      <c r="XV8" s="161"/>
      <c r="XW8" s="161"/>
      <c r="XX8" s="161"/>
      <c r="XY8" s="161"/>
      <c r="XZ8" s="161"/>
      <c r="YA8" s="161"/>
      <c r="YB8" s="161"/>
      <c r="YC8" s="161"/>
      <c r="YD8" s="161"/>
      <c r="YE8" s="161"/>
      <c r="YF8" s="161"/>
      <c r="YG8" s="161"/>
      <c r="YH8" s="161"/>
      <c r="YI8" s="161"/>
      <c r="YJ8" s="161"/>
      <c r="YK8" s="161"/>
      <c r="YL8" s="161"/>
      <c r="YM8" s="161"/>
      <c r="YN8" s="161"/>
      <c r="YO8" s="161"/>
      <c r="YP8" s="161"/>
      <c r="YQ8" s="161"/>
      <c r="YR8" s="161"/>
      <c r="YS8" s="161"/>
      <c r="YT8" s="161"/>
      <c r="YU8" s="161"/>
      <c r="YV8" s="161"/>
      <c r="YW8" s="161"/>
      <c r="YX8" s="161"/>
      <c r="YY8" s="161"/>
      <c r="YZ8" s="161"/>
      <c r="ZA8" s="161"/>
      <c r="ZB8" s="161"/>
      <c r="ZC8" s="161"/>
      <c r="ZD8" s="161"/>
      <c r="ZE8" s="161"/>
      <c r="ZF8" s="161"/>
      <c r="ZG8" s="161"/>
      <c r="ZH8" s="161"/>
      <c r="ZI8" s="161"/>
      <c r="ZJ8" s="161"/>
      <c r="ZK8" s="161"/>
      <c r="ZL8" s="161"/>
      <c r="ZM8" s="161"/>
      <c r="ZN8" s="161"/>
      <c r="ZO8" s="161"/>
      <c r="ZP8" s="161"/>
      <c r="ZQ8" s="161"/>
      <c r="ZR8" s="161"/>
      <c r="ZS8" s="161"/>
      <c r="ZT8" s="161"/>
      <c r="ZU8" s="161"/>
      <c r="ZV8" s="161"/>
      <c r="ZW8" s="161"/>
      <c r="ZX8" s="161"/>
      <c r="ZY8" s="161"/>
      <c r="ZZ8" s="161"/>
      <c r="AAA8" s="161"/>
      <c r="AAB8" s="161"/>
      <c r="AAC8" s="161"/>
      <c r="AAD8" s="161"/>
      <c r="AAE8" s="161"/>
      <c r="AAF8" s="161"/>
      <c r="AAG8" s="161"/>
      <c r="AAH8" s="161"/>
      <c r="AAI8" s="161"/>
      <c r="AAJ8" s="161"/>
      <c r="AAK8" s="161"/>
      <c r="AAL8" s="161"/>
      <c r="AAM8" s="161"/>
      <c r="AAN8" s="161"/>
      <c r="AAO8" s="161"/>
      <c r="AAP8" s="161"/>
      <c r="AAQ8" s="161"/>
      <c r="AAR8" s="161"/>
      <c r="AAS8" s="161"/>
      <c r="AAT8" s="161"/>
      <c r="AAU8" s="161"/>
      <c r="AAV8" s="161"/>
      <c r="AAW8" s="161"/>
      <c r="AAX8" s="161"/>
      <c r="AAY8" s="161"/>
      <c r="AAZ8" s="161"/>
      <c r="ABA8" s="161"/>
      <c r="ABB8" s="161"/>
      <c r="ABC8" s="161"/>
      <c r="ABD8" s="161"/>
      <c r="ABE8" s="161"/>
      <c r="ABF8" s="161"/>
      <c r="ABG8" s="161"/>
      <c r="ABH8" s="161"/>
      <c r="ABI8" s="161"/>
      <c r="ABJ8" s="161"/>
      <c r="ABK8" s="161"/>
      <c r="ABL8" s="161"/>
      <c r="ABM8" s="161"/>
      <c r="ABN8" s="161"/>
      <c r="ABO8" s="161"/>
      <c r="ABP8" s="161"/>
      <c r="ABQ8" s="161"/>
      <c r="ABR8" s="161"/>
      <c r="ABS8" s="161"/>
      <c r="ABT8" s="161"/>
      <c r="ABU8" s="161"/>
      <c r="ABV8" s="161"/>
      <c r="ABW8" s="161"/>
      <c r="ABX8" s="161"/>
      <c r="ABY8" s="161"/>
      <c r="ABZ8" s="161"/>
      <c r="ACA8" s="161"/>
      <c r="ACB8" s="161"/>
      <c r="ACC8" s="161"/>
      <c r="ACD8" s="161"/>
      <c r="ACE8" s="161"/>
      <c r="ACF8" s="161"/>
      <c r="ACG8" s="161"/>
      <c r="ACH8" s="161"/>
      <c r="ACI8" s="161"/>
      <c r="ACJ8" s="161"/>
      <c r="ACK8" s="161"/>
      <c r="ACL8" s="161"/>
      <c r="ACM8" s="161"/>
      <c r="ACN8" s="161"/>
      <c r="ACO8" s="161"/>
      <c r="ACP8" s="161"/>
      <c r="ACQ8" s="161"/>
      <c r="ACR8" s="161"/>
      <c r="ACS8" s="161"/>
      <c r="ACT8" s="161"/>
      <c r="ACU8" s="161"/>
      <c r="ACV8" s="161"/>
      <c r="ACW8" s="161"/>
      <c r="ACX8" s="161"/>
      <c r="ACY8" s="161"/>
      <c r="ACZ8" s="161"/>
      <c r="ADA8" s="161"/>
      <c r="ADB8" s="161"/>
      <c r="ADC8" s="161"/>
      <c r="ADD8" s="161"/>
      <c r="ADE8" s="161"/>
      <c r="ADF8" s="161"/>
      <c r="ADG8" s="161"/>
      <c r="ADH8" s="161"/>
      <c r="ADI8" s="161"/>
      <c r="ADJ8" s="161"/>
      <c r="ADK8" s="161"/>
      <c r="ADL8" s="161"/>
      <c r="ADM8" s="161"/>
      <c r="ADN8" s="161"/>
      <c r="ADO8" s="161"/>
      <c r="ADP8" s="161"/>
      <c r="ADQ8" s="161"/>
      <c r="ADR8" s="161"/>
      <c r="ADS8" s="161"/>
      <c r="ADT8" s="161"/>
      <c r="ADU8" s="161"/>
      <c r="ADV8" s="161"/>
      <c r="ADW8" s="161"/>
      <c r="ADX8" s="161"/>
      <c r="ADY8" s="161"/>
      <c r="ADZ8" s="161"/>
      <c r="AEA8" s="161"/>
      <c r="AEB8" s="161"/>
      <c r="AEC8" s="161"/>
      <c r="AED8" s="161"/>
      <c r="AEE8" s="161"/>
      <c r="AEF8" s="161"/>
      <c r="AEG8" s="161"/>
      <c r="AEH8" s="161"/>
      <c r="AEI8" s="161"/>
      <c r="AEJ8" s="161"/>
      <c r="AEK8" s="161"/>
      <c r="AEL8" s="161"/>
      <c r="AEM8" s="161"/>
      <c r="AEN8" s="161"/>
      <c r="AEO8" s="161"/>
      <c r="AEP8" s="161"/>
      <c r="AEQ8" s="161"/>
      <c r="AER8" s="161"/>
      <c r="AES8" s="161"/>
      <c r="AET8" s="161"/>
      <c r="AEU8" s="161"/>
      <c r="AEV8" s="161"/>
      <c r="AEW8" s="161"/>
      <c r="AEX8" s="161"/>
      <c r="AEY8" s="161"/>
      <c r="AEZ8" s="161"/>
      <c r="AFA8" s="161"/>
      <c r="AFB8" s="161"/>
      <c r="AFC8" s="161"/>
      <c r="AFD8" s="161"/>
      <c r="AFE8" s="161"/>
      <c r="AFF8" s="161"/>
      <c r="AFG8" s="161"/>
      <c r="AFH8" s="161"/>
      <c r="AFI8" s="161"/>
      <c r="AFJ8" s="161"/>
      <c r="AFK8" s="161"/>
      <c r="AFL8" s="161"/>
      <c r="AFM8" s="161"/>
      <c r="AFN8" s="161"/>
      <c r="AFO8" s="161"/>
      <c r="AFP8" s="161"/>
      <c r="AFQ8" s="161"/>
      <c r="AFR8" s="161"/>
      <c r="AFS8" s="161"/>
      <c r="AFT8" s="161"/>
      <c r="AFU8" s="161"/>
      <c r="AFV8" s="161"/>
      <c r="AFW8" s="161"/>
      <c r="AFX8" s="161"/>
      <c r="AFY8" s="161"/>
      <c r="AFZ8" s="161"/>
      <c r="AGA8" s="161"/>
      <c r="AGB8" s="161"/>
      <c r="AGC8" s="161"/>
      <c r="AGD8" s="161"/>
      <c r="AGE8" s="161"/>
      <c r="AGF8" s="161"/>
      <c r="AGG8" s="161"/>
      <c r="AGH8" s="161"/>
      <c r="AGI8" s="161"/>
      <c r="AGJ8" s="161"/>
      <c r="AGK8" s="161"/>
      <c r="AGL8" s="161"/>
      <c r="AGM8" s="161"/>
      <c r="AGN8" s="161"/>
      <c r="AGO8" s="161"/>
      <c r="AGP8" s="161"/>
      <c r="AGQ8" s="161"/>
      <c r="AGR8" s="161"/>
      <c r="AGS8" s="161"/>
      <c r="AGT8" s="161"/>
      <c r="AGU8" s="161"/>
      <c r="AGV8" s="161"/>
      <c r="AGW8" s="161"/>
      <c r="AGX8" s="161"/>
      <c r="AGY8" s="161"/>
      <c r="AGZ8" s="161"/>
      <c r="AHA8" s="161"/>
      <c r="AHB8" s="161"/>
      <c r="AHC8" s="161"/>
      <c r="AHD8" s="161"/>
      <c r="AHE8" s="161"/>
      <c r="AHF8" s="161"/>
      <c r="AHG8" s="161"/>
      <c r="AHH8" s="161"/>
      <c r="AHI8" s="161"/>
      <c r="AHJ8" s="161"/>
      <c r="AHK8" s="161"/>
      <c r="AHL8" s="161"/>
      <c r="AHM8" s="161"/>
      <c r="AHN8" s="161"/>
      <c r="AHO8" s="161"/>
      <c r="AHP8" s="161"/>
      <c r="AHQ8" s="161"/>
      <c r="AHR8" s="161"/>
      <c r="AHS8" s="161"/>
      <c r="AHT8" s="161"/>
      <c r="AHU8" s="161"/>
      <c r="AHV8" s="161"/>
      <c r="AHW8" s="161"/>
      <c r="AHX8" s="161"/>
      <c r="AHY8" s="161"/>
      <c r="AHZ8" s="161"/>
      <c r="AIA8" s="161"/>
      <c r="AIB8" s="161"/>
      <c r="AIC8" s="161"/>
      <c r="AID8" s="161"/>
      <c r="AIE8" s="161"/>
      <c r="AIF8" s="161"/>
      <c r="AIG8" s="161"/>
      <c r="AIH8" s="161"/>
      <c r="AII8" s="161"/>
      <c r="AIJ8" s="161"/>
      <c r="AIK8" s="161"/>
      <c r="AIL8" s="161"/>
      <c r="AIM8" s="161"/>
      <c r="AIN8" s="161"/>
      <c r="AIO8" s="161"/>
      <c r="AIP8" s="161"/>
      <c r="AIQ8" s="161"/>
      <c r="AIR8" s="161"/>
      <c r="AIS8" s="161"/>
      <c r="AIT8" s="161"/>
      <c r="AIU8" s="161"/>
      <c r="AIV8" s="161"/>
      <c r="AIW8" s="161"/>
      <c r="AIX8" s="161"/>
      <c r="AIY8" s="161"/>
      <c r="AIZ8" s="161"/>
      <c r="AJA8" s="161"/>
      <c r="AJB8" s="161"/>
      <c r="AJC8" s="161"/>
      <c r="AJD8" s="161"/>
      <c r="AJE8" s="161"/>
      <c r="AJF8" s="161"/>
      <c r="AJG8" s="161"/>
      <c r="AJH8" s="161"/>
      <c r="AJI8" s="161"/>
      <c r="AJJ8" s="161"/>
      <c r="AJK8" s="161"/>
      <c r="AJL8" s="161"/>
      <c r="AJM8" s="161"/>
      <c r="AJN8" s="161"/>
      <c r="AJO8" s="161"/>
      <c r="AJP8" s="161"/>
      <c r="AJQ8" s="161"/>
      <c r="AJR8" s="161"/>
      <c r="AJS8" s="161"/>
      <c r="AJT8" s="161"/>
      <c r="AJU8" s="161"/>
      <c r="AJV8" s="161"/>
      <c r="AJW8" s="161"/>
      <c r="AJX8" s="161"/>
      <c r="AJY8" s="161"/>
      <c r="AJZ8" s="161"/>
      <c r="AKA8" s="161"/>
      <c r="AKB8" s="161"/>
      <c r="AKC8" s="161"/>
      <c r="AKD8" s="161"/>
      <c r="AKE8" s="161"/>
      <c r="AKF8" s="161"/>
      <c r="AKG8" s="161"/>
      <c r="AKH8" s="161"/>
      <c r="AKI8" s="161"/>
      <c r="AKJ8" s="161"/>
      <c r="AKK8" s="161"/>
      <c r="AKL8" s="161"/>
      <c r="AKM8" s="161"/>
      <c r="AKN8" s="161"/>
      <c r="AKO8" s="161"/>
      <c r="AKP8" s="161"/>
      <c r="AKQ8" s="161"/>
      <c r="AKR8" s="161"/>
      <c r="AKS8" s="161"/>
      <c r="AKT8" s="161"/>
      <c r="AKU8" s="161"/>
      <c r="AKV8" s="161"/>
      <c r="AKW8" s="161"/>
      <c r="AKX8" s="161"/>
      <c r="AKY8" s="161"/>
      <c r="AKZ8" s="161"/>
      <c r="ALA8" s="161"/>
      <c r="ALB8" s="161"/>
      <c r="ALC8" s="161"/>
      <c r="ALD8" s="161"/>
      <c r="ALE8" s="161"/>
      <c r="ALF8" s="161"/>
      <c r="ALG8" s="161"/>
      <c r="ALH8" s="161"/>
      <c r="ALI8" s="161"/>
      <c r="ALJ8" s="161"/>
      <c r="ALK8" s="161"/>
      <c r="ALL8" s="161"/>
      <c r="ALM8" s="161"/>
      <c r="ALN8" s="161"/>
      <c r="ALO8" s="161"/>
      <c r="ALP8" s="161"/>
      <c r="ALQ8" s="161"/>
      <c r="ALR8" s="161"/>
      <c r="ALS8" s="161"/>
      <c r="ALT8" s="161"/>
      <c r="ALU8" s="161"/>
      <c r="ALV8" s="161"/>
      <c r="ALW8" s="161"/>
      <c r="ALX8" s="161"/>
      <c r="ALY8" s="161"/>
      <c r="ALZ8" s="161"/>
      <c r="AMA8" s="161"/>
      <c r="AMB8" s="161"/>
      <c r="AMC8" s="161"/>
      <c r="AMD8" s="161"/>
      <c r="AME8" s="161"/>
      <c r="AMF8" s="161"/>
      <c r="AMG8" s="161"/>
      <c r="AMH8" s="161"/>
    </row>
    <row r="9" spans="1:1022" ht="15.6">
      <c r="A9" s="165" t="s">
        <v>672</v>
      </c>
      <c r="B9" s="166" t="s">
        <v>143</v>
      </c>
      <c r="C9" s="161"/>
      <c r="D9" s="161"/>
      <c r="E9" s="161"/>
      <c r="F9" s="161"/>
      <c r="G9" s="161"/>
      <c r="H9" s="162"/>
      <c r="I9" s="161"/>
      <c r="J9" s="161"/>
      <c r="K9" s="161"/>
      <c r="L9" s="161"/>
      <c r="M9" s="161"/>
      <c r="N9" s="162"/>
      <c r="O9" s="162"/>
      <c r="P9" s="162"/>
      <c r="Q9" s="162"/>
      <c r="R9" s="161"/>
      <c r="S9" s="162"/>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row>
    <row r="10" spans="1:1022" ht="15.6">
      <c r="A10" s="165" t="s">
        <v>673</v>
      </c>
      <c r="B10" s="166" t="s">
        <v>37</v>
      </c>
      <c r="C10" s="161"/>
      <c r="D10" s="161"/>
      <c r="E10" s="161"/>
      <c r="F10" s="161"/>
      <c r="G10" s="161"/>
      <c r="H10" s="162"/>
      <c r="I10" s="161"/>
      <c r="J10" s="161"/>
      <c r="K10" s="161"/>
      <c r="L10" s="161"/>
      <c r="M10" s="161"/>
      <c r="N10" s="162"/>
      <c r="O10" s="162"/>
      <c r="P10" s="162"/>
      <c r="Q10" s="162"/>
      <c r="R10" s="161"/>
      <c r="S10" s="162"/>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c r="RH10" s="161"/>
      <c r="RI10" s="161"/>
      <c r="RJ10" s="161"/>
      <c r="RK10" s="161"/>
      <c r="RL10" s="161"/>
      <c r="RM10" s="161"/>
      <c r="RN10" s="161"/>
      <c r="RO10" s="161"/>
      <c r="RP10" s="161"/>
      <c r="RQ10" s="161"/>
      <c r="RR10" s="161"/>
      <c r="RS10" s="161"/>
      <c r="RT10" s="161"/>
      <c r="RU10" s="161"/>
      <c r="RV10" s="161"/>
      <c r="RW10" s="161"/>
      <c r="RX10" s="161"/>
      <c r="RY10" s="161"/>
      <c r="RZ10" s="161"/>
      <c r="SA10" s="161"/>
      <c r="SB10" s="161"/>
      <c r="SC10" s="161"/>
      <c r="SD10" s="161"/>
      <c r="SE10" s="161"/>
      <c r="SF10" s="161"/>
      <c r="SG10" s="161"/>
      <c r="SH10" s="161"/>
      <c r="SI10" s="161"/>
      <c r="SJ10" s="161"/>
      <c r="SK10" s="161"/>
      <c r="SL10" s="161"/>
      <c r="SM10" s="161"/>
      <c r="SN10" s="161"/>
      <c r="SO10" s="161"/>
      <c r="SP10" s="161"/>
      <c r="SQ10" s="161"/>
      <c r="SR10" s="161"/>
      <c r="SS10" s="161"/>
      <c r="ST10" s="161"/>
      <c r="SU10" s="161"/>
      <c r="SV10" s="161"/>
      <c r="SW10" s="161"/>
      <c r="SX10" s="161"/>
      <c r="SY10" s="161"/>
      <c r="SZ10" s="161"/>
      <c r="TA10" s="161"/>
      <c r="TB10" s="161"/>
      <c r="TC10" s="161"/>
      <c r="TD10" s="161"/>
      <c r="TE10" s="161"/>
      <c r="TF10" s="161"/>
      <c r="TG10" s="161"/>
      <c r="TH10" s="161"/>
      <c r="TI10" s="161"/>
      <c r="TJ10" s="161"/>
      <c r="TK10" s="161"/>
      <c r="TL10" s="161"/>
      <c r="TM10" s="161"/>
      <c r="TN10" s="161"/>
      <c r="TO10" s="161"/>
      <c r="TP10" s="161"/>
      <c r="TQ10" s="161"/>
      <c r="TR10" s="161"/>
      <c r="TS10" s="161"/>
      <c r="TT10" s="161"/>
      <c r="TU10" s="161"/>
      <c r="TV10" s="161"/>
      <c r="TW10" s="161"/>
      <c r="TX10" s="161"/>
      <c r="TY10" s="161"/>
      <c r="TZ10" s="161"/>
      <c r="UA10" s="161"/>
      <c r="UB10" s="161"/>
      <c r="UC10" s="161"/>
      <c r="UD10" s="161"/>
      <c r="UE10" s="161"/>
      <c r="UF10" s="161"/>
      <c r="UG10" s="161"/>
      <c r="UH10" s="161"/>
      <c r="UI10" s="161"/>
      <c r="UJ10" s="161"/>
      <c r="UK10" s="161"/>
      <c r="UL10" s="161"/>
      <c r="UM10" s="161"/>
      <c r="UN10" s="161"/>
      <c r="UO10" s="161"/>
      <c r="UP10" s="161"/>
      <c r="UQ10" s="161"/>
      <c r="UR10" s="161"/>
      <c r="US10" s="161"/>
      <c r="UT10" s="161"/>
      <c r="UU10" s="161"/>
      <c r="UV10" s="161"/>
      <c r="UW10" s="161"/>
      <c r="UX10" s="161"/>
      <c r="UY10" s="161"/>
      <c r="UZ10" s="161"/>
      <c r="VA10" s="161"/>
      <c r="VB10" s="161"/>
      <c r="VC10" s="161"/>
      <c r="VD10" s="161"/>
      <c r="VE10" s="161"/>
      <c r="VF10" s="161"/>
      <c r="VG10" s="161"/>
      <c r="VH10" s="161"/>
      <c r="VI10" s="161"/>
      <c r="VJ10" s="161"/>
      <c r="VK10" s="161"/>
      <c r="VL10" s="161"/>
      <c r="VM10" s="161"/>
      <c r="VN10" s="161"/>
      <c r="VO10" s="161"/>
      <c r="VP10" s="161"/>
      <c r="VQ10" s="161"/>
      <c r="VR10" s="161"/>
      <c r="VS10" s="161"/>
      <c r="VT10" s="161"/>
      <c r="VU10" s="161"/>
      <c r="VV10" s="161"/>
      <c r="VW10" s="161"/>
      <c r="VX10" s="161"/>
      <c r="VY10" s="161"/>
      <c r="VZ10" s="161"/>
      <c r="WA10" s="161"/>
      <c r="WB10" s="161"/>
      <c r="WC10" s="161"/>
      <c r="WD10" s="161"/>
      <c r="WE10" s="161"/>
      <c r="WF10" s="161"/>
      <c r="WG10" s="161"/>
      <c r="WH10" s="161"/>
      <c r="WI10" s="161"/>
      <c r="WJ10" s="161"/>
      <c r="WK10" s="161"/>
      <c r="WL10" s="161"/>
      <c r="WM10" s="161"/>
      <c r="WN10" s="161"/>
      <c r="WO10" s="161"/>
      <c r="WP10" s="161"/>
      <c r="WQ10" s="161"/>
      <c r="WR10" s="161"/>
      <c r="WS10" s="161"/>
      <c r="WT10" s="161"/>
      <c r="WU10" s="161"/>
      <c r="WV10" s="161"/>
      <c r="WW10" s="161"/>
      <c r="WX10" s="161"/>
      <c r="WY10" s="161"/>
      <c r="WZ10" s="161"/>
      <c r="XA10" s="161"/>
      <c r="XB10" s="161"/>
      <c r="XC10" s="161"/>
      <c r="XD10" s="161"/>
      <c r="XE10" s="161"/>
      <c r="XF10" s="161"/>
      <c r="XG10" s="161"/>
      <c r="XH10" s="161"/>
      <c r="XI10" s="161"/>
      <c r="XJ10" s="161"/>
      <c r="XK10" s="161"/>
      <c r="XL10" s="161"/>
      <c r="XM10" s="161"/>
      <c r="XN10" s="161"/>
      <c r="XO10" s="161"/>
      <c r="XP10" s="161"/>
      <c r="XQ10" s="161"/>
      <c r="XR10" s="161"/>
      <c r="XS10" s="161"/>
      <c r="XT10" s="161"/>
      <c r="XU10" s="161"/>
      <c r="XV10" s="161"/>
      <c r="XW10" s="161"/>
      <c r="XX10" s="161"/>
      <c r="XY10" s="161"/>
      <c r="XZ10" s="161"/>
      <c r="YA10" s="161"/>
      <c r="YB10" s="161"/>
      <c r="YC10" s="161"/>
      <c r="YD10" s="161"/>
      <c r="YE10" s="161"/>
      <c r="YF10" s="161"/>
      <c r="YG10" s="161"/>
      <c r="YH10" s="161"/>
      <c r="YI10" s="161"/>
      <c r="YJ10" s="161"/>
      <c r="YK10" s="161"/>
      <c r="YL10" s="161"/>
      <c r="YM10" s="161"/>
      <c r="YN10" s="161"/>
      <c r="YO10" s="161"/>
      <c r="YP10" s="161"/>
      <c r="YQ10" s="161"/>
      <c r="YR10" s="161"/>
      <c r="YS10" s="161"/>
      <c r="YT10" s="161"/>
      <c r="YU10" s="161"/>
      <c r="YV10" s="161"/>
      <c r="YW10" s="161"/>
      <c r="YX10" s="161"/>
      <c r="YY10" s="161"/>
      <c r="YZ10" s="161"/>
      <c r="ZA10" s="161"/>
      <c r="ZB10" s="161"/>
      <c r="ZC10" s="161"/>
      <c r="ZD10" s="161"/>
      <c r="ZE10" s="161"/>
      <c r="ZF10" s="161"/>
      <c r="ZG10" s="161"/>
      <c r="ZH10" s="161"/>
      <c r="ZI10" s="161"/>
      <c r="ZJ10" s="161"/>
      <c r="ZK10" s="161"/>
      <c r="ZL10" s="161"/>
      <c r="ZM10" s="161"/>
      <c r="ZN10" s="161"/>
      <c r="ZO10" s="161"/>
      <c r="ZP10" s="161"/>
      <c r="ZQ10" s="161"/>
      <c r="ZR10" s="161"/>
      <c r="ZS10" s="161"/>
      <c r="ZT10" s="161"/>
      <c r="ZU10" s="161"/>
      <c r="ZV10" s="161"/>
      <c r="ZW10" s="161"/>
      <c r="ZX10" s="161"/>
      <c r="ZY10" s="161"/>
      <c r="ZZ10" s="161"/>
      <c r="AAA10" s="161"/>
      <c r="AAB10" s="161"/>
      <c r="AAC10" s="161"/>
      <c r="AAD10" s="161"/>
      <c r="AAE10" s="161"/>
      <c r="AAF10" s="161"/>
      <c r="AAG10" s="161"/>
      <c r="AAH10" s="161"/>
      <c r="AAI10" s="161"/>
      <c r="AAJ10" s="161"/>
      <c r="AAK10" s="161"/>
      <c r="AAL10" s="161"/>
      <c r="AAM10" s="161"/>
      <c r="AAN10" s="161"/>
      <c r="AAO10" s="161"/>
      <c r="AAP10" s="161"/>
      <c r="AAQ10" s="161"/>
      <c r="AAR10" s="161"/>
      <c r="AAS10" s="161"/>
      <c r="AAT10" s="161"/>
      <c r="AAU10" s="161"/>
      <c r="AAV10" s="161"/>
      <c r="AAW10" s="161"/>
      <c r="AAX10" s="161"/>
      <c r="AAY10" s="161"/>
      <c r="AAZ10" s="161"/>
      <c r="ABA10" s="161"/>
      <c r="ABB10" s="161"/>
      <c r="ABC10" s="161"/>
      <c r="ABD10" s="161"/>
      <c r="ABE10" s="161"/>
      <c r="ABF10" s="161"/>
      <c r="ABG10" s="161"/>
      <c r="ABH10" s="161"/>
      <c r="ABI10" s="161"/>
      <c r="ABJ10" s="161"/>
      <c r="ABK10" s="161"/>
      <c r="ABL10" s="161"/>
      <c r="ABM10" s="161"/>
      <c r="ABN10" s="161"/>
      <c r="ABO10" s="161"/>
      <c r="ABP10" s="161"/>
      <c r="ABQ10" s="161"/>
      <c r="ABR10" s="161"/>
      <c r="ABS10" s="161"/>
      <c r="ABT10" s="161"/>
      <c r="ABU10" s="161"/>
      <c r="ABV10" s="161"/>
      <c r="ABW10" s="161"/>
      <c r="ABX10" s="161"/>
      <c r="ABY10" s="161"/>
      <c r="ABZ10" s="161"/>
      <c r="ACA10" s="161"/>
      <c r="ACB10" s="161"/>
      <c r="ACC10" s="161"/>
      <c r="ACD10" s="161"/>
      <c r="ACE10" s="161"/>
      <c r="ACF10" s="161"/>
      <c r="ACG10" s="161"/>
      <c r="ACH10" s="161"/>
      <c r="ACI10" s="161"/>
      <c r="ACJ10" s="161"/>
      <c r="ACK10" s="161"/>
      <c r="ACL10" s="161"/>
      <c r="ACM10" s="161"/>
      <c r="ACN10" s="161"/>
      <c r="ACO10" s="161"/>
      <c r="ACP10" s="161"/>
      <c r="ACQ10" s="161"/>
      <c r="ACR10" s="161"/>
      <c r="ACS10" s="161"/>
      <c r="ACT10" s="161"/>
      <c r="ACU10" s="161"/>
      <c r="ACV10" s="161"/>
      <c r="ACW10" s="161"/>
      <c r="ACX10" s="161"/>
      <c r="ACY10" s="161"/>
      <c r="ACZ10" s="161"/>
      <c r="ADA10" s="161"/>
      <c r="ADB10" s="161"/>
      <c r="ADC10" s="161"/>
      <c r="ADD10" s="161"/>
      <c r="ADE10" s="161"/>
      <c r="ADF10" s="161"/>
      <c r="ADG10" s="161"/>
      <c r="ADH10" s="161"/>
      <c r="ADI10" s="161"/>
      <c r="ADJ10" s="161"/>
      <c r="ADK10" s="161"/>
      <c r="ADL10" s="161"/>
      <c r="ADM10" s="161"/>
      <c r="ADN10" s="161"/>
      <c r="ADO10" s="161"/>
      <c r="ADP10" s="161"/>
      <c r="ADQ10" s="161"/>
      <c r="ADR10" s="161"/>
      <c r="ADS10" s="161"/>
      <c r="ADT10" s="161"/>
      <c r="ADU10" s="161"/>
      <c r="ADV10" s="161"/>
      <c r="ADW10" s="161"/>
      <c r="ADX10" s="161"/>
      <c r="ADY10" s="161"/>
      <c r="ADZ10" s="161"/>
      <c r="AEA10" s="161"/>
      <c r="AEB10" s="161"/>
      <c r="AEC10" s="161"/>
      <c r="AED10" s="161"/>
      <c r="AEE10" s="161"/>
      <c r="AEF10" s="161"/>
      <c r="AEG10" s="161"/>
      <c r="AEH10" s="161"/>
      <c r="AEI10" s="161"/>
      <c r="AEJ10" s="161"/>
      <c r="AEK10" s="161"/>
      <c r="AEL10" s="161"/>
      <c r="AEM10" s="161"/>
      <c r="AEN10" s="161"/>
      <c r="AEO10" s="161"/>
      <c r="AEP10" s="161"/>
      <c r="AEQ10" s="161"/>
      <c r="AER10" s="161"/>
      <c r="AES10" s="161"/>
      <c r="AET10" s="161"/>
      <c r="AEU10" s="161"/>
      <c r="AEV10" s="161"/>
      <c r="AEW10" s="161"/>
      <c r="AEX10" s="161"/>
      <c r="AEY10" s="161"/>
      <c r="AEZ10" s="161"/>
      <c r="AFA10" s="161"/>
      <c r="AFB10" s="161"/>
      <c r="AFC10" s="161"/>
      <c r="AFD10" s="161"/>
      <c r="AFE10" s="161"/>
      <c r="AFF10" s="161"/>
      <c r="AFG10" s="161"/>
      <c r="AFH10" s="161"/>
      <c r="AFI10" s="161"/>
      <c r="AFJ10" s="161"/>
      <c r="AFK10" s="161"/>
      <c r="AFL10" s="161"/>
      <c r="AFM10" s="161"/>
      <c r="AFN10" s="161"/>
      <c r="AFO10" s="161"/>
      <c r="AFP10" s="161"/>
      <c r="AFQ10" s="161"/>
      <c r="AFR10" s="161"/>
      <c r="AFS10" s="161"/>
      <c r="AFT10" s="161"/>
      <c r="AFU10" s="161"/>
      <c r="AFV10" s="161"/>
      <c r="AFW10" s="161"/>
      <c r="AFX10" s="161"/>
      <c r="AFY10" s="161"/>
      <c r="AFZ10" s="161"/>
      <c r="AGA10" s="161"/>
      <c r="AGB10" s="161"/>
      <c r="AGC10" s="161"/>
      <c r="AGD10" s="161"/>
      <c r="AGE10" s="161"/>
      <c r="AGF10" s="161"/>
      <c r="AGG10" s="161"/>
      <c r="AGH10" s="161"/>
      <c r="AGI10" s="161"/>
      <c r="AGJ10" s="161"/>
      <c r="AGK10" s="161"/>
      <c r="AGL10" s="161"/>
      <c r="AGM10" s="161"/>
      <c r="AGN10" s="161"/>
      <c r="AGO10" s="161"/>
      <c r="AGP10" s="161"/>
      <c r="AGQ10" s="161"/>
      <c r="AGR10" s="161"/>
      <c r="AGS10" s="161"/>
      <c r="AGT10" s="161"/>
      <c r="AGU10" s="161"/>
      <c r="AGV10" s="161"/>
      <c r="AGW10" s="161"/>
      <c r="AGX10" s="161"/>
      <c r="AGY10" s="161"/>
      <c r="AGZ10" s="161"/>
      <c r="AHA10" s="161"/>
      <c r="AHB10" s="161"/>
      <c r="AHC10" s="161"/>
      <c r="AHD10" s="161"/>
      <c r="AHE10" s="161"/>
      <c r="AHF10" s="161"/>
      <c r="AHG10" s="161"/>
      <c r="AHH10" s="161"/>
      <c r="AHI10" s="161"/>
      <c r="AHJ10" s="161"/>
      <c r="AHK10" s="161"/>
      <c r="AHL10" s="161"/>
      <c r="AHM10" s="161"/>
      <c r="AHN10" s="161"/>
      <c r="AHO10" s="161"/>
      <c r="AHP10" s="161"/>
      <c r="AHQ10" s="161"/>
      <c r="AHR10" s="161"/>
      <c r="AHS10" s="161"/>
      <c r="AHT10" s="161"/>
      <c r="AHU10" s="161"/>
      <c r="AHV10" s="161"/>
      <c r="AHW10" s="161"/>
      <c r="AHX10" s="161"/>
      <c r="AHY10" s="161"/>
      <c r="AHZ10" s="161"/>
      <c r="AIA10" s="161"/>
      <c r="AIB10" s="161"/>
      <c r="AIC10" s="161"/>
      <c r="AID10" s="161"/>
      <c r="AIE10" s="161"/>
      <c r="AIF10" s="161"/>
      <c r="AIG10" s="161"/>
      <c r="AIH10" s="161"/>
      <c r="AII10" s="161"/>
      <c r="AIJ10" s="161"/>
      <c r="AIK10" s="161"/>
      <c r="AIL10" s="161"/>
      <c r="AIM10" s="161"/>
      <c r="AIN10" s="161"/>
      <c r="AIO10" s="161"/>
      <c r="AIP10" s="161"/>
      <c r="AIQ10" s="161"/>
      <c r="AIR10" s="161"/>
      <c r="AIS10" s="161"/>
      <c r="AIT10" s="161"/>
      <c r="AIU10" s="161"/>
      <c r="AIV10" s="161"/>
      <c r="AIW10" s="161"/>
      <c r="AIX10" s="161"/>
      <c r="AIY10" s="161"/>
      <c r="AIZ10" s="161"/>
      <c r="AJA10" s="161"/>
      <c r="AJB10" s="161"/>
      <c r="AJC10" s="161"/>
      <c r="AJD10" s="161"/>
      <c r="AJE10" s="161"/>
      <c r="AJF10" s="161"/>
      <c r="AJG10" s="161"/>
      <c r="AJH10" s="161"/>
      <c r="AJI10" s="161"/>
      <c r="AJJ10" s="161"/>
      <c r="AJK10" s="161"/>
      <c r="AJL10" s="161"/>
      <c r="AJM10" s="161"/>
      <c r="AJN10" s="161"/>
      <c r="AJO10" s="161"/>
      <c r="AJP10" s="161"/>
      <c r="AJQ10" s="161"/>
      <c r="AJR10" s="161"/>
      <c r="AJS10" s="161"/>
      <c r="AJT10" s="161"/>
      <c r="AJU10" s="161"/>
      <c r="AJV10" s="161"/>
      <c r="AJW10" s="161"/>
      <c r="AJX10" s="161"/>
      <c r="AJY10" s="161"/>
      <c r="AJZ10" s="161"/>
      <c r="AKA10" s="161"/>
      <c r="AKB10" s="161"/>
      <c r="AKC10" s="161"/>
      <c r="AKD10" s="161"/>
      <c r="AKE10" s="161"/>
      <c r="AKF10" s="161"/>
      <c r="AKG10" s="161"/>
      <c r="AKH10" s="161"/>
      <c r="AKI10" s="161"/>
      <c r="AKJ10" s="161"/>
      <c r="AKK10" s="161"/>
      <c r="AKL10" s="161"/>
      <c r="AKM10" s="161"/>
      <c r="AKN10" s="161"/>
      <c r="AKO10" s="161"/>
      <c r="AKP10" s="161"/>
      <c r="AKQ10" s="161"/>
      <c r="AKR10" s="161"/>
      <c r="AKS10" s="161"/>
      <c r="AKT10" s="161"/>
      <c r="AKU10" s="161"/>
      <c r="AKV10" s="161"/>
      <c r="AKW10" s="161"/>
      <c r="AKX10" s="161"/>
      <c r="AKY10" s="161"/>
      <c r="AKZ10" s="161"/>
      <c r="ALA10" s="161"/>
      <c r="ALB10" s="161"/>
      <c r="ALC10" s="161"/>
      <c r="ALD10" s="161"/>
      <c r="ALE10" s="161"/>
      <c r="ALF10" s="161"/>
      <c r="ALG10" s="161"/>
      <c r="ALH10" s="161"/>
      <c r="ALI10" s="161"/>
      <c r="ALJ10" s="161"/>
      <c r="ALK10" s="161"/>
      <c r="ALL10" s="161"/>
      <c r="ALM10" s="161"/>
      <c r="ALN10" s="161"/>
      <c r="ALO10" s="161"/>
      <c r="ALP10" s="161"/>
      <c r="ALQ10" s="161"/>
      <c r="ALR10" s="161"/>
      <c r="ALS10" s="161"/>
      <c r="ALT10" s="161"/>
      <c r="ALU10" s="161"/>
      <c r="ALV10" s="161"/>
      <c r="ALW10" s="161"/>
      <c r="ALX10" s="161"/>
      <c r="ALY10" s="161"/>
      <c r="ALZ10" s="161"/>
      <c r="AMA10" s="161"/>
      <c r="AMB10" s="161"/>
      <c r="AMC10" s="161"/>
      <c r="AMD10" s="161"/>
      <c r="AME10" s="161"/>
      <c r="AMF10" s="161"/>
      <c r="AMG10" s="161"/>
      <c r="AMH10" s="161"/>
    </row>
    <row r="11" spans="1:1022" ht="15.6">
      <c r="A11" s="165" t="s">
        <v>674</v>
      </c>
      <c r="B11" s="168">
        <v>46042</v>
      </c>
      <c r="C11" s="161"/>
      <c r="D11" s="161"/>
      <c r="E11" s="161"/>
      <c r="F11" s="161"/>
      <c r="G11" s="161"/>
      <c r="H11" s="162"/>
      <c r="I11" s="161"/>
      <c r="J11" s="161"/>
      <c r="K11" s="161"/>
      <c r="L11" s="161"/>
      <c r="M11" s="161"/>
      <c r="N11" s="162"/>
      <c r="O11" s="162"/>
      <c r="P11" s="162"/>
      <c r="Q11" s="162"/>
      <c r="R11" s="161"/>
      <c r="S11" s="162"/>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c r="RH11" s="161"/>
      <c r="RI11" s="161"/>
      <c r="RJ11" s="161"/>
      <c r="RK11" s="161"/>
      <c r="RL11" s="161"/>
      <c r="RM11" s="161"/>
      <c r="RN11" s="161"/>
      <c r="RO11" s="161"/>
      <c r="RP11" s="161"/>
      <c r="RQ11" s="161"/>
      <c r="RR11" s="161"/>
      <c r="RS11" s="161"/>
      <c r="RT11" s="161"/>
      <c r="RU11" s="161"/>
      <c r="RV11" s="161"/>
      <c r="RW11" s="161"/>
      <c r="RX11" s="161"/>
      <c r="RY11" s="161"/>
      <c r="RZ11" s="161"/>
      <c r="SA11" s="161"/>
      <c r="SB11" s="161"/>
      <c r="SC11" s="161"/>
      <c r="SD11" s="161"/>
      <c r="SE11" s="161"/>
      <c r="SF11" s="161"/>
      <c r="SG11" s="161"/>
      <c r="SH11" s="161"/>
      <c r="SI11" s="161"/>
      <c r="SJ11" s="161"/>
      <c r="SK11" s="161"/>
      <c r="SL11" s="161"/>
      <c r="SM11" s="161"/>
      <c r="SN11" s="161"/>
      <c r="SO11" s="161"/>
      <c r="SP11" s="161"/>
      <c r="SQ11" s="161"/>
      <c r="SR11" s="161"/>
      <c r="SS11" s="161"/>
      <c r="ST11" s="161"/>
      <c r="SU11" s="161"/>
      <c r="SV11" s="161"/>
      <c r="SW11" s="161"/>
      <c r="SX11" s="161"/>
      <c r="SY11" s="161"/>
      <c r="SZ11" s="161"/>
      <c r="TA11" s="161"/>
      <c r="TB11" s="161"/>
      <c r="TC11" s="161"/>
      <c r="TD11" s="161"/>
      <c r="TE11" s="161"/>
      <c r="TF11" s="161"/>
      <c r="TG11" s="161"/>
      <c r="TH11" s="161"/>
      <c r="TI11" s="161"/>
      <c r="TJ11" s="161"/>
      <c r="TK11" s="161"/>
      <c r="TL11" s="161"/>
      <c r="TM11" s="161"/>
      <c r="TN11" s="161"/>
      <c r="TO11" s="161"/>
      <c r="TP11" s="161"/>
      <c r="TQ11" s="161"/>
      <c r="TR11" s="161"/>
      <c r="TS11" s="161"/>
      <c r="TT11" s="161"/>
      <c r="TU11" s="161"/>
      <c r="TV11" s="161"/>
      <c r="TW11" s="161"/>
      <c r="TX11" s="161"/>
      <c r="TY11" s="161"/>
      <c r="TZ11" s="161"/>
      <c r="UA11" s="161"/>
      <c r="UB11" s="161"/>
      <c r="UC11" s="161"/>
      <c r="UD11" s="161"/>
      <c r="UE11" s="161"/>
      <c r="UF11" s="161"/>
      <c r="UG11" s="161"/>
      <c r="UH11" s="161"/>
      <c r="UI11" s="161"/>
      <c r="UJ11" s="161"/>
      <c r="UK11" s="161"/>
      <c r="UL11" s="161"/>
      <c r="UM11" s="161"/>
      <c r="UN11" s="161"/>
      <c r="UO11" s="161"/>
      <c r="UP11" s="161"/>
      <c r="UQ11" s="161"/>
      <c r="UR11" s="161"/>
      <c r="US11" s="161"/>
      <c r="UT11" s="161"/>
      <c r="UU11" s="161"/>
      <c r="UV11" s="161"/>
      <c r="UW11" s="161"/>
      <c r="UX11" s="161"/>
      <c r="UY11" s="161"/>
      <c r="UZ11" s="161"/>
      <c r="VA11" s="161"/>
      <c r="VB11" s="161"/>
      <c r="VC11" s="161"/>
      <c r="VD11" s="161"/>
      <c r="VE11" s="161"/>
      <c r="VF11" s="161"/>
      <c r="VG11" s="161"/>
      <c r="VH11" s="161"/>
      <c r="VI11" s="161"/>
      <c r="VJ11" s="161"/>
      <c r="VK11" s="161"/>
      <c r="VL11" s="161"/>
      <c r="VM11" s="161"/>
      <c r="VN11" s="161"/>
      <c r="VO11" s="161"/>
      <c r="VP11" s="161"/>
      <c r="VQ11" s="161"/>
      <c r="VR11" s="161"/>
      <c r="VS11" s="161"/>
      <c r="VT11" s="161"/>
      <c r="VU11" s="161"/>
      <c r="VV11" s="161"/>
      <c r="VW11" s="161"/>
      <c r="VX11" s="161"/>
      <c r="VY11" s="161"/>
      <c r="VZ11" s="161"/>
      <c r="WA11" s="161"/>
      <c r="WB11" s="161"/>
      <c r="WC11" s="161"/>
      <c r="WD11" s="161"/>
      <c r="WE11" s="161"/>
      <c r="WF11" s="161"/>
      <c r="WG11" s="161"/>
      <c r="WH11" s="161"/>
      <c r="WI11" s="161"/>
      <c r="WJ11" s="161"/>
      <c r="WK11" s="161"/>
      <c r="WL11" s="161"/>
      <c r="WM11" s="161"/>
      <c r="WN11" s="161"/>
      <c r="WO11" s="161"/>
      <c r="WP11" s="161"/>
      <c r="WQ11" s="161"/>
      <c r="WR11" s="161"/>
      <c r="WS11" s="161"/>
      <c r="WT11" s="161"/>
      <c r="WU11" s="161"/>
      <c r="WV11" s="161"/>
      <c r="WW11" s="161"/>
      <c r="WX11" s="161"/>
      <c r="WY11" s="161"/>
      <c r="WZ11" s="161"/>
      <c r="XA11" s="161"/>
      <c r="XB11" s="161"/>
      <c r="XC11" s="161"/>
      <c r="XD11" s="161"/>
      <c r="XE11" s="161"/>
      <c r="XF11" s="161"/>
      <c r="XG11" s="161"/>
      <c r="XH11" s="161"/>
      <c r="XI11" s="161"/>
      <c r="XJ11" s="161"/>
      <c r="XK11" s="161"/>
      <c r="XL11" s="161"/>
      <c r="XM11" s="161"/>
      <c r="XN11" s="161"/>
      <c r="XO11" s="161"/>
      <c r="XP11" s="161"/>
      <c r="XQ11" s="161"/>
      <c r="XR11" s="161"/>
      <c r="XS11" s="161"/>
      <c r="XT11" s="161"/>
      <c r="XU11" s="161"/>
      <c r="XV11" s="161"/>
      <c r="XW11" s="161"/>
      <c r="XX11" s="161"/>
      <c r="XY11" s="161"/>
      <c r="XZ11" s="161"/>
      <c r="YA11" s="161"/>
      <c r="YB11" s="161"/>
      <c r="YC11" s="161"/>
      <c r="YD11" s="161"/>
      <c r="YE11" s="161"/>
      <c r="YF11" s="161"/>
      <c r="YG11" s="161"/>
      <c r="YH11" s="161"/>
      <c r="YI11" s="161"/>
      <c r="YJ11" s="161"/>
      <c r="YK11" s="161"/>
      <c r="YL11" s="161"/>
      <c r="YM11" s="161"/>
      <c r="YN11" s="161"/>
      <c r="YO11" s="161"/>
      <c r="YP11" s="161"/>
      <c r="YQ11" s="161"/>
      <c r="YR11" s="161"/>
      <c r="YS11" s="161"/>
      <c r="YT11" s="161"/>
      <c r="YU11" s="161"/>
      <c r="YV11" s="161"/>
      <c r="YW11" s="161"/>
      <c r="YX11" s="161"/>
      <c r="YY11" s="161"/>
      <c r="YZ11" s="161"/>
      <c r="ZA11" s="161"/>
      <c r="ZB11" s="161"/>
      <c r="ZC11" s="161"/>
      <c r="ZD11" s="161"/>
      <c r="ZE11" s="161"/>
      <c r="ZF11" s="161"/>
      <c r="ZG11" s="161"/>
      <c r="ZH11" s="161"/>
      <c r="ZI11" s="161"/>
      <c r="ZJ11" s="161"/>
      <c r="ZK11" s="161"/>
      <c r="ZL11" s="161"/>
      <c r="ZM11" s="161"/>
      <c r="ZN11" s="161"/>
      <c r="ZO11" s="161"/>
      <c r="ZP11" s="161"/>
      <c r="ZQ11" s="161"/>
      <c r="ZR11" s="161"/>
      <c r="ZS11" s="161"/>
      <c r="ZT11" s="161"/>
      <c r="ZU11" s="161"/>
      <c r="ZV11" s="161"/>
      <c r="ZW11" s="161"/>
      <c r="ZX11" s="161"/>
      <c r="ZY11" s="161"/>
      <c r="ZZ11" s="161"/>
      <c r="AAA11" s="161"/>
      <c r="AAB11" s="161"/>
      <c r="AAC11" s="161"/>
      <c r="AAD11" s="161"/>
      <c r="AAE11" s="161"/>
      <c r="AAF11" s="161"/>
      <c r="AAG11" s="161"/>
      <c r="AAH11" s="161"/>
      <c r="AAI11" s="161"/>
      <c r="AAJ11" s="161"/>
      <c r="AAK11" s="161"/>
      <c r="AAL11" s="161"/>
      <c r="AAM11" s="161"/>
      <c r="AAN11" s="161"/>
      <c r="AAO11" s="161"/>
      <c r="AAP11" s="161"/>
      <c r="AAQ11" s="161"/>
      <c r="AAR11" s="161"/>
      <c r="AAS11" s="161"/>
      <c r="AAT11" s="161"/>
      <c r="AAU11" s="161"/>
      <c r="AAV11" s="161"/>
      <c r="AAW11" s="161"/>
      <c r="AAX11" s="161"/>
      <c r="AAY11" s="161"/>
      <c r="AAZ11" s="161"/>
      <c r="ABA11" s="161"/>
      <c r="ABB11" s="161"/>
      <c r="ABC11" s="161"/>
      <c r="ABD11" s="161"/>
      <c r="ABE11" s="161"/>
      <c r="ABF11" s="161"/>
      <c r="ABG11" s="161"/>
      <c r="ABH11" s="161"/>
      <c r="ABI11" s="161"/>
      <c r="ABJ11" s="161"/>
      <c r="ABK11" s="161"/>
      <c r="ABL11" s="161"/>
      <c r="ABM11" s="161"/>
      <c r="ABN11" s="161"/>
      <c r="ABO11" s="161"/>
      <c r="ABP11" s="161"/>
      <c r="ABQ11" s="161"/>
      <c r="ABR11" s="161"/>
      <c r="ABS11" s="161"/>
      <c r="ABT11" s="161"/>
      <c r="ABU11" s="161"/>
      <c r="ABV11" s="161"/>
      <c r="ABW11" s="161"/>
      <c r="ABX11" s="161"/>
      <c r="ABY11" s="161"/>
      <c r="ABZ11" s="161"/>
      <c r="ACA11" s="161"/>
      <c r="ACB11" s="161"/>
      <c r="ACC11" s="161"/>
      <c r="ACD11" s="161"/>
      <c r="ACE11" s="161"/>
      <c r="ACF11" s="161"/>
      <c r="ACG11" s="161"/>
      <c r="ACH11" s="161"/>
      <c r="ACI11" s="161"/>
      <c r="ACJ11" s="161"/>
      <c r="ACK11" s="161"/>
      <c r="ACL11" s="161"/>
      <c r="ACM11" s="161"/>
      <c r="ACN11" s="161"/>
      <c r="ACO11" s="161"/>
      <c r="ACP11" s="161"/>
      <c r="ACQ11" s="161"/>
      <c r="ACR11" s="161"/>
      <c r="ACS11" s="161"/>
      <c r="ACT11" s="161"/>
      <c r="ACU11" s="161"/>
      <c r="ACV11" s="161"/>
      <c r="ACW11" s="161"/>
      <c r="ACX11" s="161"/>
      <c r="ACY11" s="161"/>
      <c r="ACZ11" s="161"/>
      <c r="ADA11" s="161"/>
      <c r="ADB11" s="161"/>
      <c r="ADC11" s="161"/>
      <c r="ADD11" s="161"/>
      <c r="ADE11" s="161"/>
      <c r="ADF11" s="161"/>
      <c r="ADG11" s="161"/>
      <c r="ADH11" s="161"/>
      <c r="ADI11" s="161"/>
      <c r="ADJ11" s="161"/>
      <c r="ADK11" s="161"/>
      <c r="ADL11" s="161"/>
      <c r="ADM11" s="161"/>
      <c r="ADN11" s="161"/>
      <c r="ADO11" s="161"/>
      <c r="ADP11" s="161"/>
      <c r="ADQ11" s="161"/>
      <c r="ADR11" s="161"/>
      <c r="ADS11" s="161"/>
      <c r="ADT11" s="161"/>
      <c r="ADU11" s="161"/>
      <c r="ADV11" s="161"/>
      <c r="ADW11" s="161"/>
      <c r="ADX11" s="161"/>
      <c r="ADY11" s="161"/>
      <c r="ADZ11" s="161"/>
      <c r="AEA11" s="161"/>
      <c r="AEB11" s="161"/>
      <c r="AEC11" s="161"/>
      <c r="AED11" s="161"/>
      <c r="AEE11" s="161"/>
      <c r="AEF11" s="161"/>
      <c r="AEG11" s="161"/>
      <c r="AEH11" s="161"/>
      <c r="AEI11" s="161"/>
      <c r="AEJ11" s="161"/>
      <c r="AEK11" s="161"/>
      <c r="AEL11" s="161"/>
      <c r="AEM11" s="161"/>
      <c r="AEN11" s="161"/>
      <c r="AEO11" s="161"/>
      <c r="AEP11" s="161"/>
      <c r="AEQ11" s="161"/>
      <c r="AER11" s="161"/>
      <c r="AES11" s="161"/>
      <c r="AET11" s="161"/>
      <c r="AEU11" s="161"/>
      <c r="AEV11" s="161"/>
      <c r="AEW11" s="161"/>
      <c r="AEX11" s="161"/>
      <c r="AEY11" s="161"/>
      <c r="AEZ11" s="161"/>
      <c r="AFA11" s="161"/>
      <c r="AFB11" s="161"/>
      <c r="AFC11" s="161"/>
      <c r="AFD11" s="161"/>
      <c r="AFE11" s="161"/>
      <c r="AFF11" s="161"/>
      <c r="AFG11" s="161"/>
      <c r="AFH11" s="161"/>
      <c r="AFI11" s="161"/>
      <c r="AFJ11" s="161"/>
      <c r="AFK11" s="161"/>
      <c r="AFL11" s="161"/>
      <c r="AFM11" s="161"/>
      <c r="AFN11" s="161"/>
      <c r="AFO11" s="161"/>
      <c r="AFP11" s="161"/>
      <c r="AFQ11" s="161"/>
      <c r="AFR11" s="161"/>
      <c r="AFS11" s="161"/>
      <c r="AFT11" s="161"/>
      <c r="AFU11" s="161"/>
      <c r="AFV11" s="161"/>
      <c r="AFW11" s="161"/>
      <c r="AFX11" s="161"/>
      <c r="AFY11" s="161"/>
      <c r="AFZ11" s="161"/>
      <c r="AGA11" s="161"/>
      <c r="AGB11" s="161"/>
      <c r="AGC11" s="161"/>
      <c r="AGD11" s="161"/>
      <c r="AGE11" s="161"/>
      <c r="AGF11" s="161"/>
      <c r="AGG11" s="161"/>
      <c r="AGH11" s="161"/>
      <c r="AGI11" s="161"/>
      <c r="AGJ11" s="161"/>
      <c r="AGK11" s="161"/>
      <c r="AGL11" s="161"/>
      <c r="AGM11" s="161"/>
      <c r="AGN11" s="161"/>
      <c r="AGO11" s="161"/>
      <c r="AGP11" s="161"/>
      <c r="AGQ11" s="161"/>
      <c r="AGR11" s="161"/>
      <c r="AGS11" s="161"/>
      <c r="AGT11" s="161"/>
      <c r="AGU11" s="161"/>
      <c r="AGV11" s="161"/>
      <c r="AGW11" s="161"/>
      <c r="AGX11" s="161"/>
      <c r="AGY11" s="161"/>
      <c r="AGZ11" s="161"/>
      <c r="AHA11" s="161"/>
      <c r="AHB11" s="161"/>
      <c r="AHC11" s="161"/>
      <c r="AHD11" s="161"/>
      <c r="AHE11" s="161"/>
      <c r="AHF11" s="161"/>
      <c r="AHG11" s="161"/>
      <c r="AHH11" s="161"/>
      <c r="AHI11" s="161"/>
      <c r="AHJ11" s="161"/>
      <c r="AHK11" s="161"/>
      <c r="AHL11" s="161"/>
      <c r="AHM11" s="161"/>
      <c r="AHN11" s="161"/>
      <c r="AHO11" s="161"/>
      <c r="AHP11" s="161"/>
      <c r="AHQ11" s="161"/>
      <c r="AHR11" s="161"/>
      <c r="AHS11" s="161"/>
      <c r="AHT11" s="161"/>
      <c r="AHU11" s="161"/>
      <c r="AHV11" s="161"/>
      <c r="AHW11" s="161"/>
      <c r="AHX11" s="161"/>
      <c r="AHY11" s="161"/>
      <c r="AHZ11" s="161"/>
      <c r="AIA11" s="161"/>
      <c r="AIB11" s="161"/>
      <c r="AIC11" s="161"/>
      <c r="AID11" s="161"/>
      <c r="AIE11" s="161"/>
      <c r="AIF11" s="161"/>
      <c r="AIG11" s="161"/>
      <c r="AIH11" s="161"/>
      <c r="AII11" s="161"/>
      <c r="AIJ11" s="161"/>
      <c r="AIK11" s="161"/>
      <c r="AIL11" s="161"/>
      <c r="AIM11" s="161"/>
      <c r="AIN11" s="161"/>
      <c r="AIO11" s="161"/>
      <c r="AIP11" s="161"/>
      <c r="AIQ11" s="161"/>
      <c r="AIR11" s="161"/>
      <c r="AIS11" s="161"/>
      <c r="AIT11" s="161"/>
      <c r="AIU11" s="161"/>
      <c r="AIV11" s="161"/>
      <c r="AIW11" s="161"/>
      <c r="AIX11" s="161"/>
      <c r="AIY11" s="161"/>
      <c r="AIZ11" s="161"/>
      <c r="AJA11" s="161"/>
      <c r="AJB11" s="161"/>
      <c r="AJC11" s="161"/>
      <c r="AJD11" s="161"/>
      <c r="AJE11" s="161"/>
      <c r="AJF11" s="161"/>
      <c r="AJG11" s="161"/>
      <c r="AJH11" s="161"/>
      <c r="AJI11" s="161"/>
      <c r="AJJ11" s="161"/>
      <c r="AJK11" s="161"/>
      <c r="AJL11" s="161"/>
      <c r="AJM11" s="161"/>
      <c r="AJN11" s="161"/>
      <c r="AJO11" s="161"/>
      <c r="AJP11" s="161"/>
      <c r="AJQ11" s="161"/>
      <c r="AJR11" s="161"/>
      <c r="AJS11" s="161"/>
      <c r="AJT11" s="161"/>
      <c r="AJU11" s="161"/>
      <c r="AJV11" s="161"/>
      <c r="AJW11" s="161"/>
      <c r="AJX11" s="161"/>
      <c r="AJY11" s="161"/>
      <c r="AJZ11" s="161"/>
      <c r="AKA11" s="161"/>
      <c r="AKB11" s="161"/>
      <c r="AKC11" s="161"/>
      <c r="AKD11" s="161"/>
      <c r="AKE11" s="161"/>
      <c r="AKF11" s="161"/>
      <c r="AKG11" s="161"/>
      <c r="AKH11" s="161"/>
      <c r="AKI11" s="161"/>
      <c r="AKJ11" s="161"/>
      <c r="AKK11" s="161"/>
      <c r="AKL11" s="161"/>
      <c r="AKM11" s="161"/>
      <c r="AKN11" s="161"/>
      <c r="AKO11" s="161"/>
      <c r="AKP11" s="161"/>
      <c r="AKQ11" s="161"/>
      <c r="AKR11" s="161"/>
      <c r="AKS11" s="161"/>
      <c r="AKT11" s="161"/>
      <c r="AKU11" s="161"/>
      <c r="AKV11" s="161"/>
      <c r="AKW11" s="161"/>
      <c r="AKX11" s="161"/>
      <c r="AKY11" s="161"/>
      <c r="AKZ11" s="161"/>
      <c r="ALA11" s="161"/>
      <c r="ALB11" s="161"/>
      <c r="ALC11" s="161"/>
      <c r="ALD11" s="161"/>
      <c r="ALE11" s="161"/>
      <c r="ALF11" s="161"/>
      <c r="ALG11" s="161"/>
      <c r="ALH11" s="161"/>
      <c r="ALI11" s="161"/>
      <c r="ALJ11" s="161"/>
      <c r="ALK11" s="161"/>
      <c r="ALL11" s="161"/>
      <c r="ALM11" s="161"/>
      <c r="ALN11" s="161"/>
      <c r="ALO11" s="161"/>
      <c r="ALP11" s="161"/>
      <c r="ALQ11" s="161"/>
      <c r="ALR11" s="161"/>
      <c r="ALS11" s="161"/>
      <c r="ALT11" s="161"/>
      <c r="ALU11" s="161"/>
      <c r="ALV11" s="161"/>
      <c r="ALW11" s="161"/>
      <c r="ALX11" s="161"/>
      <c r="ALY11" s="161"/>
      <c r="ALZ11" s="161"/>
      <c r="AMA11" s="161"/>
      <c r="AMB11" s="161"/>
      <c r="AMC11" s="161"/>
      <c r="AMD11" s="161"/>
      <c r="AME11" s="161"/>
      <c r="AMF11" s="161"/>
      <c r="AMG11" s="161"/>
      <c r="AMH11" s="161"/>
    </row>
    <row r="14" spans="1:1022">
      <c r="B14" s="16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EA3D-BA62-4ADF-B266-D1C9D57DC6DA}">
  <sheetPr>
    <tabColor rgb="FF92D050"/>
  </sheetPr>
  <dimension ref="A1:S18"/>
  <sheetViews>
    <sheetView workbookViewId="0">
      <pane xSplit="2" ySplit="1" topLeftCell="C2" activePane="bottomRight" state="frozen"/>
      <selection pane="topRight" activeCell="C1" sqref="C1"/>
      <selection pane="bottomLeft" activeCell="A2" sqref="A2"/>
      <selection pane="bottomRight" activeCell="P2" sqref="P2:Q1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16.5546875"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Secteurs!$B$31</f>
        <v>Importations</v>
      </c>
      <c r="B2" t="str">
        <f>Produits!$B$3</f>
        <v>Veaux</v>
      </c>
      <c r="C2" s="67">
        <f>'Comext - AGRESTE'!E5/'Anatomie - Blézat'!$D$20/10^3</f>
        <v>3.0357537313432834</v>
      </c>
      <c r="E2" s="27" t="str">
        <f>Etiquettes!$C$7</f>
        <v>kt</v>
      </c>
      <c r="F2" s="111" t="str">
        <f>Etiquettes!$C$4</f>
        <v>Viande bovine</v>
      </c>
      <c r="G2" s="27">
        <f>Etiquettes!$H$6</f>
        <v>2015</v>
      </c>
      <c r="H2" s="27" t="str">
        <f>Etiquettes!$C$5</f>
        <v>France entière</v>
      </c>
      <c r="I2" s="111" t="s">
        <v>491</v>
      </c>
      <c r="J2" s="27"/>
      <c r="K2" t="s">
        <v>486</v>
      </c>
      <c r="L2" s="111" t="str" cm="1">
        <f t="array" aca="1" ref="L2" ca="1">[1]!NOM_FEUILLE('Comext - AGRESTE'!$A$1)</f>
        <v>Comext - AGRESTE</v>
      </c>
      <c r="M2" s="27" t="str">
        <f>Etiquettes!$H$11</f>
        <v>Volume</v>
      </c>
      <c r="N2" s="112" t="str">
        <f t="shared" ref="N2:N13" si="0">_xlfn.CONCAT(I2,IF(OR(ISBLANK(C2),ISERROR(C2)),"",_xlfn.CONCAT(" = ",MROUND(C2,1)," ",E2," (",K2,")")))</f>
        <v>Importation de veaux = 3 kt (Agreste - Statistique Agricole Annuelle - SSP)</v>
      </c>
      <c r="O2" s="27" t="str">
        <f>Etiquettes!$H$15</f>
        <v>Fiable</v>
      </c>
      <c r="P2" s="111" t="str">
        <f>Etiquettes!$H$16</f>
        <v>Données collectées</v>
      </c>
      <c r="Q2" s="111" t="str">
        <f>Etiquettes!$H$17</f>
        <v>Donnée collectée (valeur du flux ou coefficient)</v>
      </c>
      <c r="R2" t="s">
        <v>456</v>
      </c>
      <c r="S2" s="205" t="s">
        <v>36</v>
      </c>
    </row>
    <row r="3" spans="1:19">
      <c r="A3" t="str">
        <f>Secteurs!$B$31</f>
        <v>Importations</v>
      </c>
      <c r="B3" t="str">
        <f>Produits!$B$4</f>
        <v>Gros bovins</v>
      </c>
      <c r="C3" s="67">
        <f>'Comext - AGRESTE'!E8/'Anatomie - Blézat'!$D$7/10^3</f>
        <v>4.9453243243243241</v>
      </c>
      <c r="E3" s="27" t="str">
        <f>Etiquettes!$C$7</f>
        <v>kt</v>
      </c>
      <c r="F3" s="111" t="str">
        <f>Etiquettes!$C$4</f>
        <v>Viande bovine</v>
      </c>
      <c r="G3" s="27">
        <f>Etiquettes!$H$6</f>
        <v>2015</v>
      </c>
      <c r="H3" s="27" t="str">
        <f>Etiquettes!$C$5</f>
        <v>France entière</v>
      </c>
      <c r="I3" s="111" t="s">
        <v>492</v>
      </c>
      <c r="J3" s="27"/>
      <c r="K3" t="s">
        <v>486</v>
      </c>
      <c r="L3" s="111" t="str" cm="1">
        <f t="array" aca="1" ref="L3" ca="1">[1]!NOM_FEUILLE('Comext - AGRESTE'!$A$1)</f>
        <v>Comext - AGRESTE</v>
      </c>
      <c r="M3" s="27" t="str">
        <f>Etiquettes!$H$11</f>
        <v>Volume</v>
      </c>
      <c r="N3" s="112" t="str">
        <f t="shared" si="0"/>
        <v>Importation de gros bovins = 5 kt (Agreste - Statistique Agricole Annuelle - SSP)</v>
      </c>
      <c r="O3" s="27" t="str">
        <f>Etiquettes!$H$15</f>
        <v>Fiable</v>
      </c>
      <c r="P3" s="111" t="str">
        <f>Etiquettes!$H$16</f>
        <v>Données collectées</v>
      </c>
      <c r="Q3" s="111" t="str">
        <f>Etiquettes!$H$17</f>
        <v>Donnée collectée (valeur du flux ou coefficient)</v>
      </c>
      <c r="R3" t="s">
        <v>456</v>
      </c>
      <c r="S3" s="205"/>
    </row>
    <row r="4" spans="1:19">
      <c r="A4" t="str">
        <f>Produits!$B$3</f>
        <v>Veaux</v>
      </c>
      <c r="B4" t="str">
        <f>Secteurs!$B$32</f>
        <v>Exportations</v>
      </c>
      <c r="C4" s="67">
        <f>'Comext - AGRESTE'!F5/'Anatomie - Blézat'!$D$20/10^3</f>
        <v>2.8926716417910447</v>
      </c>
      <c r="E4" s="27" t="str">
        <f>Etiquettes!$C$7</f>
        <v>kt</v>
      </c>
      <c r="F4" s="111" t="str">
        <f>Etiquettes!$C$4</f>
        <v>Viande bovine</v>
      </c>
      <c r="G4" s="27">
        <f>Etiquettes!$H$6</f>
        <v>2015</v>
      </c>
      <c r="H4" s="27" t="str">
        <f>Etiquettes!$C$5</f>
        <v>France entière</v>
      </c>
      <c r="I4" s="111" t="s">
        <v>493</v>
      </c>
      <c r="J4" s="27"/>
      <c r="K4" t="s">
        <v>486</v>
      </c>
      <c r="L4" s="111" t="str" cm="1">
        <f t="array" aca="1" ref="L4" ca="1">[1]!NOM_FEUILLE('Comext - AGRESTE'!$A$1)</f>
        <v>Comext - AGRESTE</v>
      </c>
      <c r="M4" s="27" t="str">
        <f>Etiquettes!$H$11</f>
        <v>Volume</v>
      </c>
      <c r="N4" s="112" t="str">
        <f t="shared" si="0"/>
        <v>Exportation de veaux = 3 kt (Agreste - Statistique Agricole Annuelle - SSP)</v>
      </c>
      <c r="O4" s="27" t="str">
        <f>Etiquettes!$H$15</f>
        <v>Fiable</v>
      </c>
      <c r="P4" s="111" t="str">
        <f>Etiquettes!$H$16</f>
        <v>Données collectées</v>
      </c>
      <c r="Q4" s="111" t="str">
        <f>Etiquettes!$H$17</f>
        <v>Donnée collectée (valeur du flux ou coefficient)</v>
      </c>
      <c r="R4" t="s">
        <v>456</v>
      </c>
      <c r="S4" s="205"/>
    </row>
    <row r="5" spans="1:19">
      <c r="A5" t="str">
        <f>Produits!$B$4</f>
        <v>Gros bovins</v>
      </c>
      <c r="B5" t="str">
        <f>Secteurs!$B$32</f>
        <v>Exportations</v>
      </c>
      <c r="C5" s="67">
        <f>'Comext - AGRESTE'!F8/'Anatomie - Blézat'!$D$7/10^3</f>
        <v>24.32643243243243</v>
      </c>
      <c r="E5" s="27" t="str">
        <f>Etiquettes!$C$7</f>
        <v>kt</v>
      </c>
      <c r="F5" s="111" t="str">
        <f>Etiquettes!$C$4</f>
        <v>Viande bovine</v>
      </c>
      <c r="G5" s="27">
        <f>Etiquettes!$H$6</f>
        <v>2015</v>
      </c>
      <c r="H5" s="27" t="str">
        <f>Etiquettes!$C$5</f>
        <v>France entière</v>
      </c>
      <c r="I5" s="111" t="s">
        <v>494</v>
      </c>
      <c r="J5" s="27"/>
      <c r="K5" t="s">
        <v>486</v>
      </c>
      <c r="L5" s="111" t="str" cm="1">
        <f t="array" aca="1" ref="L5" ca="1">[1]!NOM_FEUILLE('Comext - AGRESTE'!$A$1)</f>
        <v>Comext - AGRESTE</v>
      </c>
      <c r="M5" s="27" t="str">
        <f>Etiquettes!$H$11</f>
        <v>Volume</v>
      </c>
      <c r="N5" s="112" t="str">
        <f t="shared" si="0"/>
        <v>Exportation de gros bovins = 24 kt (Agreste - Statistique Agricole Annuelle - SSP)</v>
      </c>
      <c r="O5" s="27" t="str">
        <f>Etiquettes!$H$15</f>
        <v>Fiable</v>
      </c>
      <c r="P5" s="111" t="str">
        <f>Etiquettes!$H$16</f>
        <v>Données collectées</v>
      </c>
      <c r="Q5" s="111" t="str">
        <f>Etiquettes!$H$17</f>
        <v>Donnée collectée (valeur du flux ou coefficient)</v>
      </c>
      <c r="R5" t="s">
        <v>456</v>
      </c>
      <c r="S5" s="205"/>
    </row>
    <row r="6" spans="1:19">
      <c r="A6" t="str">
        <f>Secteurs!$B$31</f>
        <v>Importations</v>
      </c>
      <c r="B6" t="str">
        <f>Produits!$B$3</f>
        <v>Veaux</v>
      </c>
      <c r="C6" s="67">
        <f>'Comext - AGRESTE'!G5/'Anatomie - Blézat'!$D$20/10^3</f>
        <v>12.70844776119403</v>
      </c>
      <c r="E6" s="27" t="str">
        <f>Etiquettes!$C$7</f>
        <v>kt</v>
      </c>
      <c r="F6" s="111" t="str">
        <f>Etiquettes!$C$4</f>
        <v>Viande bovine</v>
      </c>
      <c r="G6" s="27">
        <f>Etiquettes!$I$6</f>
        <v>2019</v>
      </c>
      <c r="H6" s="27" t="str">
        <f>Etiquettes!$C$5</f>
        <v>France entière</v>
      </c>
      <c r="I6" s="111" t="s">
        <v>491</v>
      </c>
      <c r="J6" s="27"/>
      <c r="K6" t="s">
        <v>486</v>
      </c>
      <c r="L6" s="111" t="str" cm="1">
        <f t="array" aca="1" ref="L6" ca="1">[1]!NOM_FEUILLE('Comext - AGRESTE'!$A$1)</f>
        <v>Comext - AGRESTE</v>
      </c>
      <c r="M6" s="27" t="str">
        <f>Etiquettes!$H$11</f>
        <v>Volume</v>
      </c>
      <c r="N6" s="112" t="str">
        <f t="shared" si="0"/>
        <v>Importation de veaux = 13 kt (Agreste - Statistique Agricole Annuelle - SSP)</v>
      </c>
      <c r="O6" s="27" t="str">
        <f>Etiquettes!$H$15</f>
        <v>Fiable</v>
      </c>
      <c r="P6" s="111" t="str">
        <f>Etiquettes!$H$16</f>
        <v>Données collectées</v>
      </c>
      <c r="Q6" s="111" t="str">
        <f>Etiquettes!$H$17</f>
        <v>Donnée collectée (valeur du flux ou coefficient)</v>
      </c>
      <c r="R6" t="s">
        <v>456</v>
      </c>
      <c r="S6" s="205" t="s">
        <v>36</v>
      </c>
    </row>
    <row r="7" spans="1:19">
      <c r="A7" t="str">
        <f>Secteurs!$B$31</f>
        <v>Importations</v>
      </c>
      <c r="B7" t="str">
        <f>Produits!$B$4</f>
        <v>Gros bovins</v>
      </c>
      <c r="C7" s="67">
        <f>'Comext - AGRESTE'!G8/'Anatomie - Blézat'!$D$7/10^3</f>
        <v>1.0430270270270268</v>
      </c>
      <c r="E7" s="27" t="str">
        <f>Etiquettes!$C$7</f>
        <v>kt</v>
      </c>
      <c r="F7" s="111" t="str">
        <f>Etiquettes!$C$4</f>
        <v>Viande bovine</v>
      </c>
      <c r="G7" s="27">
        <f>Etiquettes!$I$6</f>
        <v>2019</v>
      </c>
      <c r="H7" s="27" t="str">
        <f>Etiquettes!$C$5</f>
        <v>France entière</v>
      </c>
      <c r="I7" s="111" t="s">
        <v>492</v>
      </c>
      <c r="J7" s="27"/>
      <c r="K7" t="s">
        <v>486</v>
      </c>
      <c r="L7" s="111" t="str" cm="1">
        <f t="array" aca="1" ref="L7" ca="1">[1]!NOM_FEUILLE('Comext - AGRESTE'!$A$1)</f>
        <v>Comext - AGRESTE</v>
      </c>
      <c r="M7" s="27" t="str">
        <f>Etiquettes!$H$11</f>
        <v>Volume</v>
      </c>
      <c r="N7" s="112" t="str">
        <f t="shared" si="0"/>
        <v>Importation de gros bovins = 1 kt (Agreste - Statistique Agricole Annuelle - SSP)</v>
      </c>
      <c r="O7" s="27" t="str">
        <f>Etiquettes!$H$15</f>
        <v>Fiable</v>
      </c>
      <c r="P7" s="111" t="str">
        <f>Etiquettes!$H$16</f>
        <v>Données collectées</v>
      </c>
      <c r="Q7" s="111" t="str">
        <f>Etiquettes!$H$17</f>
        <v>Donnée collectée (valeur du flux ou coefficient)</v>
      </c>
      <c r="R7" t="s">
        <v>456</v>
      </c>
      <c r="S7" s="205"/>
    </row>
    <row r="8" spans="1:19">
      <c r="A8" t="str">
        <f>Produits!$B$3</f>
        <v>Veaux</v>
      </c>
      <c r="B8" t="str">
        <f>Secteurs!$B$32</f>
        <v>Exportations</v>
      </c>
      <c r="C8" s="67">
        <f>'Comext - AGRESTE'!H5/'Anatomie - Blézat'!$D$20/10^3</f>
        <v>3.2564104477611941</v>
      </c>
      <c r="E8" s="27" t="str">
        <f>Etiquettes!$C$7</f>
        <v>kt</v>
      </c>
      <c r="F8" s="111" t="str">
        <f>Etiquettes!$C$4</f>
        <v>Viande bovine</v>
      </c>
      <c r="G8" s="27">
        <f>Etiquettes!$I$6</f>
        <v>2019</v>
      </c>
      <c r="H8" s="27" t="str">
        <f>Etiquettes!$C$5</f>
        <v>France entière</v>
      </c>
      <c r="I8" s="111" t="s">
        <v>493</v>
      </c>
      <c r="J8" s="27"/>
      <c r="K8" t="s">
        <v>486</v>
      </c>
      <c r="L8" s="111" t="str" cm="1">
        <f t="array" aca="1" ref="L8" ca="1">[1]!NOM_FEUILLE('Comext - AGRESTE'!$A$1)</f>
        <v>Comext - AGRESTE</v>
      </c>
      <c r="M8" s="27" t="str">
        <f>Etiquettes!$H$11</f>
        <v>Volume</v>
      </c>
      <c r="N8" s="112" t="str">
        <f t="shared" si="0"/>
        <v>Exportation de veaux = 3 kt (Agreste - Statistique Agricole Annuelle - SSP)</v>
      </c>
      <c r="O8" s="27" t="str">
        <f>Etiquettes!$H$15</f>
        <v>Fiable</v>
      </c>
      <c r="P8" s="111" t="str">
        <f>Etiquettes!$H$16</f>
        <v>Données collectées</v>
      </c>
      <c r="Q8" s="111" t="str">
        <f>Etiquettes!$H$17</f>
        <v>Donnée collectée (valeur du flux ou coefficient)</v>
      </c>
      <c r="R8" t="s">
        <v>456</v>
      </c>
      <c r="S8" s="205"/>
    </row>
    <row r="9" spans="1:19">
      <c r="A9" t="str">
        <f>Produits!$B$4</f>
        <v>Gros bovins</v>
      </c>
      <c r="B9" t="str">
        <f>Secteurs!$B$32</f>
        <v>Exportations</v>
      </c>
      <c r="C9" s="67">
        <f>'Comext - AGRESTE'!H8/'Anatomie - Blézat'!$D$7/10^3</f>
        <v>18.262027027027028</v>
      </c>
      <c r="E9" s="27" t="str">
        <f>Etiquettes!$C$7</f>
        <v>kt</v>
      </c>
      <c r="F9" s="111" t="str">
        <f>Etiquettes!$C$4</f>
        <v>Viande bovine</v>
      </c>
      <c r="G9" s="27">
        <f>Etiquettes!$I$6</f>
        <v>2019</v>
      </c>
      <c r="H9" s="27" t="str">
        <f>Etiquettes!$C$5</f>
        <v>France entière</v>
      </c>
      <c r="I9" s="111" t="s">
        <v>494</v>
      </c>
      <c r="J9" s="27"/>
      <c r="K9" t="s">
        <v>486</v>
      </c>
      <c r="L9" s="111" t="str" cm="1">
        <f t="array" aca="1" ref="L9" ca="1">[1]!NOM_FEUILLE('Comext - AGRESTE'!$A$1)</f>
        <v>Comext - AGRESTE</v>
      </c>
      <c r="M9" s="27" t="str">
        <f>Etiquettes!$H$11</f>
        <v>Volume</v>
      </c>
      <c r="N9" s="112" t="str">
        <f t="shared" si="0"/>
        <v>Exportation de gros bovins = 18 kt (Agreste - Statistique Agricole Annuelle - SSP)</v>
      </c>
      <c r="O9" s="27" t="str">
        <f>Etiquettes!$H$15</f>
        <v>Fiable</v>
      </c>
      <c r="P9" s="111" t="str">
        <f>Etiquettes!$H$16</f>
        <v>Données collectées</v>
      </c>
      <c r="Q9" s="111" t="str">
        <f>Etiquettes!$H$17</f>
        <v>Donnée collectée (valeur du flux ou coefficient)</v>
      </c>
      <c r="R9" t="s">
        <v>456</v>
      </c>
      <c r="S9" s="205"/>
    </row>
    <row r="10" spans="1:19">
      <c r="A10" t="str">
        <f>Secteurs!$B$31</f>
        <v>Importations</v>
      </c>
      <c r="B10" t="str">
        <f>Produits!$B$3</f>
        <v>Veaux</v>
      </c>
      <c r="C10" s="67">
        <f>'Comext - AGRESTE'!I5/'Anatomie - Blézat'!$D$20/10^3</f>
        <v>8.0039776119402983</v>
      </c>
      <c r="E10" s="27" t="str">
        <f>Etiquettes!$C$7</f>
        <v>kt</v>
      </c>
      <c r="F10" s="111" t="str">
        <f>Etiquettes!$C$4</f>
        <v>Viande bovine</v>
      </c>
      <c r="G10" s="27">
        <f>Etiquettes!$J$6</f>
        <v>2023</v>
      </c>
      <c r="H10" s="27" t="str">
        <f>Etiquettes!$C$5</f>
        <v>France entière</v>
      </c>
      <c r="I10" s="111" t="s">
        <v>491</v>
      </c>
      <c r="J10" s="27"/>
      <c r="K10" t="s">
        <v>486</v>
      </c>
      <c r="L10" s="111" t="str" cm="1">
        <f t="array" aca="1" ref="L10" ca="1">[1]!NOM_FEUILLE('Comext - AGRESTE'!$A$1)</f>
        <v>Comext - AGRESTE</v>
      </c>
      <c r="M10" s="27" t="str">
        <f>Etiquettes!$H$11</f>
        <v>Volume</v>
      </c>
      <c r="N10" s="112" t="str">
        <f t="shared" si="0"/>
        <v>Importation de veaux = 8 kt (Agreste - Statistique Agricole Annuelle - SSP)</v>
      </c>
      <c r="O10" s="27" t="str">
        <f>Etiquettes!$H$15</f>
        <v>Fiable</v>
      </c>
      <c r="P10" s="111" t="str">
        <f>Etiquettes!$H$16</f>
        <v>Données collectées</v>
      </c>
      <c r="Q10" s="111" t="str">
        <f>Etiquettes!$H$17</f>
        <v>Donnée collectée (valeur du flux ou coefficient)</v>
      </c>
      <c r="R10" t="s">
        <v>456</v>
      </c>
      <c r="S10" s="205" t="s">
        <v>36</v>
      </c>
    </row>
    <row r="11" spans="1:19">
      <c r="A11" t="str">
        <f>Secteurs!$B$31</f>
        <v>Importations</v>
      </c>
      <c r="B11" t="str">
        <f>Produits!$B$4</f>
        <v>Gros bovins</v>
      </c>
      <c r="C11" s="67">
        <f>'Comext - AGRESTE'!I8/'Anatomie - Blézat'!$D$7/10^3</f>
        <v>0.75691891891891883</v>
      </c>
      <c r="E11" s="27" t="str">
        <f>Etiquettes!$C$7</f>
        <v>kt</v>
      </c>
      <c r="F11" s="111" t="str">
        <f>Etiquettes!$C$4</f>
        <v>Viande bovine</v>
      </c>
      <c r="G11" s="27">
        <f>Etiquettes!$J$6</f>
        <v>2023</v>
      </c>
      <c r="H11" s="27" t="str">
        <f>Etiquettes!$C$5</f>
        <v>France entière</v>
      </c>
      <c r="I11" s="111" t="s">
        <v>492</v>
      </c>
      <c r="J11" s="27"/>
      <c r="K11" t="s">
        <v>486</v>
      </c>
      <c r="L11" s="111" t="str" cm="1">
        <f t="array" aca="1" ref="L11" ca="1">[1]!NOM_FEUILLE('Comext - AGRESTE'!$A$1)</f>
        <v>Comext - AGRESTE</v>
      </c>
      <c r="M11" s="27" t="str">
        <f>Etiquettes!$H$11</f>
        <v>Volume</v>
      </c>
      <c r="N11" s="112" t="str">
        <f t="shared" si="0"/>
        <v>Importation de gros bovins = 1 kt (Agreste - Statistique Agricole Annuelle - SSP)</v>
      </c>
      <c r="O11" s="27" t="str">
        <f>Etiquettes!$H$15</f>
        <v>Fiable</v>
      </c>
      <c r="P11" s="111" t="str">
        <f>Etiquettes!$H$16</f>
        <v>Données collectées</v>
      </c>
      <c r="Q11" s="111" t="str">
        <f>Etiquettes!$H$17</f>
        <v>Donnée collectée (valeur du flux ou coefficient)</v>
      </c>
      <c r="R11" t="s">
        <v>456</v>
      </c>
      <c r="S11" s="205"/>
    </row>
    <row r="12" spans="1:19">
      <c r="A12" t="str">
        <f>Produits!$B$3</f>
        <v>Veaux</v>
      </c>
      <c r="B12" t="str">
        <f>Secteurs!$B$32</f>
        <v>Exportations</v>
      </c>
      <c r="C12" s="67">
        <f>'Comext - AGRESTE'!J5/'Anatomie - Blézat'!$D$20/10^3</f>
        <v>2.3272388059701492</v>
      </c>
      <c r="E12" s="27" t="str">
        <f>Etiquettes!$C$7</f>
        <v>kt</v>
      </c>
      <c r="F12" s="111" t="str">
        <f>Etiquettes!$C$4</f>
        <v>Viande bovine</v>
      </c>
      <c r="G12" s="27">
        <f>Etiquettes!$J$6</f>
        <v>2023</v>
      </c>
      <c r="H12" s="27" t="str">
        <f>Etiquettes!$C$5</f>
        <v>France entière</v>
      </c>
      <c r="I12" s="111" t="s">
        <v>493</v>
      </c>
      <c r="J12" s="27"/>
      <c r="K12" t="s">
        <v>486</v>
      </c>
      <c r="L12" s="111" t="str" cm="1">
        <f t="array" aca="1" ref="L12" ca="1">[1]!NOM_FEUILLE('Comext - AGRESTE'!$A$1)</f>
        <v>Comext - AGRESTE</v>
      </c>
      <c r="M12" s="27" t="str">
        <f>Etiquettes!$H$11</f>
        <v>Volume</v>
      </c>
      <c r="N12" s="112" t="str">
        <f t="shared" si="0"/>
        <v>Exportation de veaux = 2 kt (Agreste - Statistique Agricole Annuelle - SSP)</v>
      </c>
      <c r="O12" s="27" t="str">
        <f>Etiquettes!$H$15</f>
        <v>Fiable</v>
      </c>
      <c r="P12" s="111" t="str">
        <f>Etiquettes!$H$16</f>
        <v>Données collectées</v>
      </c>
      <c r="Q12" s="111" t="str">
        <f>Etiquettes!$H$17</f>
        <v>Donnée collectée (valeur du flux ou coefficient)</v>
      </c>
      <c r="R12" t="s">
        <v>456</v>
      </c>
      <c r="S12" s="205"/>
    </row>
    <row r="13" spans="1:19">
      <c r="A13" t="str">
        <f>Produits!$B$4</f>
        <v>Gros bovins</v>
      </c>
      <c r="B13" t="str">
        <f>Secteurs!$B$32</f>
        <v>Exportations</v>
      </c>
      <c r="C13" s="67">
        <f>'Comext - AGRESTE'!J8/'Anatomie - Blézat'!$D$7/10^3</f>
        <v>10.573324324324323</v>
      </c>
      <c r="E13" s="27" t="str">
        <f>Etiquettes!$C$7</f>
        <v>kt</v>
      </c>
      <c r="F13" s="111" t="str">
        <f>Etiquettes!$C$4</f>
        <v>Viande bovine</v>
      </c>
      <c r="G13" s="27">
        <f>Etiquettes!$J$6</f>
        <v>2023</v>
      </c>
      <c r="H13" s="27" t="str">
        <f>Etiquettes!$C$5</f>
        <v>France entière</v>
      </c>
      <c r="I13" s="111" t="s">
        <v>494</v>
      </c>
      <c r="J13" s="27"/>
      <c r="K13" t="s">
        <v>486</v>
      </c>
      <c r="L13" s="111" t="str" cm="1">
        <f t="array" aca="1" ref="L13" ca="1">[1]!NOM_FEUILLE('Comext - AGRESTE'!$A$1)</f>
        <v>Comext - AGRESTE</v>
      </c>
      <c r="M13" s="27" t="str">
        <f>Etiquettes!$H$11</f>
        <v>Volume</v>
      </c>
      <c r="N13" s="112" t="str">
        <f t="shared" si="0"/>
        <v>Exportation de gros bovins = 11 kt (Agreste - Statistique Agricole Annuelle - SSP)</v>
      </c>
      <c r="O13" s="27" t="str">
        <f>Etiquettes!$H$15</f>
        <v>Fiable</v>
      </c>
      <c r="P13" s="111" t="str">
        <f>Etiquettes!$H$16</f>
        <v>Données collectées</v>
      </c>
      <c r="Q13" s="111" t="str">
        <f>Etiquettes!$H$17</f>
        <v>Donnée collectée (valeur du flux ou coefficient)</v>
      </c>
      <c r="R13" t="s">
        <v>456</v>
      </c>
      <c r="S13" s="205"/>
    </row>
    <row r="18" spans="3:3">
      <c r="C18" s="67"/>
    </row>
  </sheetData>
  <mergeCells count="3">
    <mergeCell ref="S10:S13"/>
    <mergeCell ref="S2:S5"/>
    <mergeCell ref="S6:S9"/>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Z40" sqref="Z40"/>
    </sheetView>
  </sheetViews>
  <sheetFormatPr baseColWidth="10" defaultRowHeight="14.4"/>
  <sheetData>
    <row r="1" spans="1:12" ht="15" thickBot="1">
      <c r="A1" s="43"/>
      <c r="B1" s="43"/>
      <c r="C1" s="43"/>
      <c r="D1" s="43"/>
      <c r="E1" s="208">
        <v>2015</v>
      </c>
      <c r="F1" s="208"/>
      <c r="G1" s="208">
        <v>2019</v>
      </c>
      <c r="H1" s="208"/>
      <c r="I1" s="208">
        <v>2023</v>
      </c>
      <c r="J1" s="208"/>
    </row>
    <row r="2" spans="1:12" ht="46.2" thickBot="1">
      <c r="A2" s="44" t="s">
        <v>94</v>
      </c>
      <c r="B2" s="44" t="s">
        <v>95</v>
      </c>
      <c r="C2" s="44" t="s">
        <v>96</v>
      </c>
      <c r="D2" s="44" t="s">
        <v>97</v>
      </c>
      <c r="E2" s="45" t="s">
        <v>151</v>
      </c>
      <c r="F2" s="45" t="s">
        <v>150</v>
      </c>
      <c r="G2" s="45" t="s">
        <v>151</v>
      </c>
      <c r="H2" s="45" t="s">
        <v>150</v>
      </c>
      <c r="I2" s="45" t="s">
        <v>151</v>
      </c>
      <c r="J2" s="45" t="s">
        <v>150</v>
      </c>
    </row>
    <row r="3" spans="1:12" ht="15" thickBot="1">
      <c r="A3" s="206" t="s">
        <v>103</v>
      </c>
      <c r="B3" s="209"/>
      <c r="C3" s="209"/>
      <c r="D3" s="207"/>
      <c r="E3" s="68">
        <v>4492</v>
      </c>
      <c r="F3" s="68">
        <v>15112</v>
      </c>
      <c r="G3" s="68">
        <v>7948</v>
      </c>
      <c r="H3" s="68">
        <v>11974</v>
      </c>
      <c r="I3" s="68">
        <v>5061</v>
      </c>
      <c r="J3" s="68">
        <v>7189</v>
      </c>
      <c r="L3" s="70"/>
    </row>
    <row r="4" spans="1:12" ht="15" thickBot="1">
      <c r="A4" s="47"/>
      <c r="B4" s="206" t="s">
        <v>59</v>
      </c>
      <c r="C4" s="209"/>
      <c r="D4" s="207"/>
      <c r="E4" s="68">
        <v>4492</v>
      </c>
      <c r="F4" s="68">
        <v>15112</v>
      </c>
      <c r="G4" s="68">
        <v>7948</v>
      </c>
      <c r="H4" s="68">
        <v>11974</v>
      </c>
      <c r="I4" s="68">
        <v>5061</v>
      </c>
      <c r="J4" s="68">
        <v>7189</v>
      </c>
    </row>
    <row r="5" spans="1:12" ht="15" thickBot="1">
      <c r="A5" s="47"/>
      <c r="B5" s="47"/>
      <c r="C5" s="206" t="s">
        <v>104</v>
      </c>
      <c r="D5" s="207"/>
      <c r="E5" s="78">
        <v>1761</v>
      </c>
      <c r="F5" s="78">
        <v>1678</v>
      </c>
      <c r="G5" s="78">
        <v>7372</v>
      </c>
      <c r="H5" s="78">
        <v>1889</v>
      </c>
      <c r="I5" s="78">
        <v>4643</v>
      </c>
      <c r="J5" s="78">
        <v>1350</v>
      </c>
    </row>
    <row r="6" spans="1:12" ht="15" thickBot="1">
      <c r="A6" s="47"/>
      <c r="B6" s="47"/>
      <c r="C6" s="47"/>
      <c r="D6" s="46" t="s">
        <v>105</v>
      </c>
      <c r="E6" s="68">
        <v>1761</v>
      </c>
      <c r="F6" s="68">
        <v>1678</v>
      </c>
      <c r="G6" s="68">
        <v>7372</v>
      </c>
      <c r="H6" s="68">
        <v>1889</v>
      </c>
      <c r="I6" s="68">
        <v>4643</v>
      </c>
      <c r="J6" s="68">
        <v>1350</v>
      </c>
    </row>
    <row r="7" spans="1:12" ht="15" thickBot="1">
      <c r="A7" s="47"/>
      <c r="B7" s="47"/>
      <c r="C7" s="47"/>
      <c r="D7" s="46" t="s">
        <v>106</v>
      </c>
      <c r="E7" s="68"/>
      <c r="F7" s="68"/>
      <c r="G7" s="68"/>
      <c r="H7" s="68"/>
      <c r="I7" s="68"/>
      <c r="J7" s="68"/>
    </row>
    <row r="8" spans="1:12" ht="15" thickBot="1">
      <c r="A8" s="47"/>
      <c r="B8" s="47"/>
      <c r="C8" s="206" t="s">
        <v>107</v>
      </c>
      <c r="D8" s="207"/>
      <c r="E8" s="78">
        <v>2731</v>
      </c>
      <c r="F8" s="78">
        <v>13434</v>
      </c>
      <c r="G8" s="78">
        <v>576</v>
      </c>
      <c r="H8" s="78">
        <v>10085</v>
      </c>
      <c r="I8" s="78">
        <v>418</v>
      </c>
      <c r="J8" s="78">
        <v>5839</v>
      </c>
    </row>
    <row r="9" spans="1:12" ht="15" thickBot="1">
      <c r="A9" s="47"/>
      <c r="B9" s="47"/>
      <c r="C9" s="47"/>
      <c r="D9" s="46" t="s">
        <v>108</v>
      </c>
      <c r="E9" s="68">
        <v>4</v>
      </c>
      <c r="F9" s="68">
        <v>949</v>
      </c>
      <c r="G9" s="68"/>
      <c r="H9" s="68">
        <v>1413</v>
      </c>
      <c r="I9" s="68"/>
      <c r="J9" s="68">
        <v>868</v>
      </c>
    </row>
    <row r="10" spans="1:12" ht="15" thickBot="1">
      <c r="A10" s="47"/>
      <c r="B10" s="47"/>
      <c r="C10" s="47"/>
      <c r="D10" s="46" t="s">
        <v>111</v>
      </c>
      <c r="E10" s="68">
        <v>769</v>
      </c>
      <c r="F10" s="68">
        <v>1205</v>
      </c>
      <c r="G10" s="68">
        <v>454</v>
      </c>
      <c r="H10" s="68">
        <v>1888</v>
      </c>
      <c r="I10" s="68">
        <v>301</v>
      </c>
      <c r="J10" s="68">
        <v>770</v>
      </c>
    </row>
    <row r="11" spans="1:12" ht="15" thickBot="1">
      <c r="A11" s="47"/>
      <c r="B11" s="47"/>
      <c r="C11" s="47"/>
      <c r="D11" s="46" t="s">
        <v>114</v>
      </c>
      <c r="E11" s="68">
        <v>1958</v>
      </c>
      <c r="F11" s="68">
        <v>11280</v>
      </c>
      <c r="G11" s="68">
        <v>122</v>
      </c>
      <c r="H11" s="68">
        <v>6784</v>
      </c>
      <c r="I11" s="68">
        <v>117</v>
      </c>
      <c r="J11" s="68">
        <v>4201</v>
      </c>
    </row>
    <row r="12" spans="1:12" ht="15" thickBot="1">
      <c r="A12" s="206" t="s">
        <v>124</v>
      </c>
      <c r="B12" s="209"/>
      <c r="C12" s="209"/>
      <c r="D12" s="207"/>
      <c r="E12" s="68">
        <v>38</v>
      </c>
      <c r="F12" s="68">
        <v>56269</v>
      </c>
      <c r="G12" s="68">
        <v>18</v>
      </c>
      <c r="H12" s="68">
        <v>60298</v>
      </c>
      <c r="I12" s="68">
        <v>18</v>
      </c>
      <c r="J12" s="68">
        <v>25956</v>
      </c>
    </row>
    <row r="13" spans="1:12" ht="15" thickBot="1">
      <c r="A13" s="47"/>
      <c r="B13" s="210" t="s">
        <v>125</v>
      </c>
      <c r="C13" s="211"/>
      <c r="D13" s="212"/>
      <c r="E13" s="68">
        <v>38</v>
      </c>
      <c r="F13" s="68">
        <v>56269</v>
      </c>
      <c r="G13" s="68">
        <v>18</v>
      </c>
      <c r="H13" s="68">
        <v>60298</v>
      </c>
      <c r="I13" s="68">
        <v>18</v>
      </c>
      <c r="J13" s="68">
        <v>25956</v>
      </c>
    </row>
    <row r="14" spans="1:12" ht="15" thickBot="1">
      <c r="A14" s="210" t="s">
        <v>131</v>
      </c>
      <c r="B14" s="211"/>
      <c r="C14" s="211"/>
      <c r="D14" s="212"/>
      <c r="E14" s="68"/>
      <c r="F14" s="68"/>
      <c r="G14" s="68"/>
      <c r="H14" s="68"/>
      <c r="I14" s="68"/>
      <c r="J14" s="68"/>
    </row>
    <row r="15" spans="1:12" ht="15" thickBot="1">
      <c r="A15" s="210" t="s">
        <v>134</v>
      </c>
      <c r="B15" s="211"/>
      <c r="C15" s="211"/>
      <c r="D15" s="212"/>
      <c r="E15" s="68"/>
      <c r="F15" s="68"/>
      <c r="G15" s="68"/>
      <c r="H15" s="68"/>
      <c r="I15" s="68"/>
      <c r="J15" s="68"/>
    </row>
    <row r="16" spans="1:12" ht="15" thickBot="1">
      <c r="A16" s="210" t="s">
        <v>137</v>
      </c>
      <c r="B16" s="211"/>
      <c r="C16" s="211"/>
      <c r="D16" s="212"/>
      <c r="E16" s="69">
        <v>210</v>
      </c>
      <c r="F16" s="69">
        <v>1551</v>
      </c>
      <c r="G16" s="69"/>
      <c r="H16" s="69">
        <v>1835</v>
      </c>
      <c r="I16" s="69">
        <v>271</v>
      </c>
      <c r="J16" s="69">
        <v>1769</v>
      </c>
    </row>
  </sheetData>
  <mergeCells count="12">
    <mergeCell ref="A12:D12"/>
    <mergeCell ref="B13:D13"/>
    <mergeCell ref="A14:D14"/>
    <mergeCell ref="A15:D15"/>
    <mergeCell ref="A16:D16"/>
    <mergeCell ref="C8:D8"/>
    <mergeCell ref="E1:F1"/>
    <mergeCell ref="G1:H1"/>
    <mergeCell ref="I1:J1"/>
    <mergeCell ref="A3:D3"/>
    <mergeCell ref="B4:D4"/>
    <mergeCell ref="C5:D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8E52A-BBA1-4CAE-8BFC-F31DBC45B16E}">
  <sheetPr>
    <tabColor rgb="FF92D050"/>
  </sheetPr>
  <dimension ref="A1:S15"/>
  <sheetViews>
    <sheetView workbookViewId="0">
      <pane xSplit="2" ySplit="1" topLeftCell="C2" activePane="bottomRight" state="frozen"/>
      <selection pane="topRight" activeCell="C1" sqref="C1"/>
      <selection pane="bottomLeft" activeCell="A2" sqref="A2"/>
      <selection pane="bottomRight" activeCell="P2" sqref="P2:Q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Secteurs!$B$4</f>
        <v>Abattage / découpe</v>
      </c>
      <c r="B2" t="str">
        <f>Produits!$B$8</f>
        <v>Carcasses, fraîches</v>
      </c>
      <c r="C2" s="67"/>
      <c r="D2" s="72"/>
      <c r="E2" s="27" t="str">
        <f>Etiquettes!$C$7</f>
        <v>kt</v>
      </c>
      <c r="F2" s="111" t="str">
        <f>Etiquettes!$C$4</f>
        <v>Viande bovine</v>
      </c>
      <c r="G2" s="27">
        <f>Etiquettes!$H$6</f>
        <v>2015</v>
      </c>
      <c r="H2" s="27" t="str">
        <f>Etiquettes!$C$5</f>
        <v>France entière</v>
      </c>
      <c r="I2" s="111" t="s">
        <v>495</v>
      </c>
      <c r="J2" s="111" t="s">
        <v>547</v>
      </c>
      <c r="K2" t="s">
        <v>487</v>
      </c>
      <c r="L2" s="111" t="str" cm="1">
        <f t="array" aca="1" ref="L2" ca="1">[1]!NOM_FEUILLE('Fabrication - PRODCOM'!$A$1)</f>
        <v>Fabrication - PRODCOM</v>
      </c>
      <c r="M2" s="27" t="str">
        <f>Etiquettes!$H$11</f>
        <v>Volume</v>
      </c>
      <c r="N2" s="112" t="str">
        <f t="shared" ref="N2:N10" si="0">_xlfn.CONCAT(I2,IF(OR(ISBLANK(C2),ISERROR(C2)),"",_xlfn.CONCAT(" = ",MROUND(C2,1)," ",E2," (",K2,")")))</f>
        <v>Production de carcasses fraîches</v>
      </c>
      <c r="O2" s="27" t="str">
        <f>Etiquettes!$I$15</f>
        <v>Robuste</v>
      </c>
      <c r="P2" s="111" t="s">
        <v>663</v>
      </c>
      <c r="Q2" s="111" t="str">
        <f>Etiquettes!$J$17</f>
        <v>Donnée déterminée (par bilan matière)</v>
      </c>
      <c r="S2" s="213" t="s">
        <v>223</v>
      </c>
    </row>
    <row r="3" spans="1:19">
      <c r="A3" t="str">
        <f>Secteurs!$B$4</f>
        <v>Abattage / découpe</v>
      </c>
      <c r="B3" t="str">
        <f>Produits!$B$10</f>
        <v>Morceaux, frais</v>
      </c>
      <c r="C3" s="67">
        <f>'Fabrication - PRODCOM'!C12/10^6</f>
        <v>474.27793300000002</v>
      </c>
      <c r="E3" s="27" t="str">
        <f>Etiquettes!$C$7</f>
        <v>kt</v>
      </c>
      <c r="F3" s="111" t="str">
        <f>Etiquettes!$C$4</f>
        <v>Viande bovine</v>
      </c>
      <c r="G3" s="27">
        <f>Etiquettes!$H$6</f>
        <v>2015</v>
      </c>
      <c r="H3" s="27" t="str">
        <f>Etiquettes!$C$5</f>
        <v>France entière</v>
      </c>
      <c r="I3" s="111" t="s">
        <v>496</v>
      </c>
      <c r="J3" s="27"/>
      <c r="K3" t="s">
        <v>487</v>
      </c>
      <c r="L3" s="111" t="str" cm="1">
        <f t="array" aca="1" ref="L3" ca="1">[1]!NOM_FEUILLE('Fabrication - PRODCOM'!$A$1)</f>
        <v>Fabrication - PRODCOM</v>
      </c>
      <c r="M3" s="27" t="str">
        <f>Etiquettes!$H$11</f>
        <v>Volume</v>
      </c>
      <c r="N3" s="112" t="str">
        <f t="shared" si="0"/>
        <v>Production de morceaux frais = 474 kt (Prodcom - Eurostat)</v>
      </c>
      <c r="O3" s="27" t="str">
        <f>Etiquettes!$I$15</f>
        <v>Robuste</v>
      </c>
      <c r="P3" s="111" t="str">
        <f>Etiquettes!$H$16</f>
        <v>Données collectées</v>
      </c>
      <c r="Q3" s="111" t="str">
        <f>Etiquettes!$H$17</f>
        <v>Donnée collectée (valeur du flux ou coefficient)</v>
      </c>
      <c r="S3" s="213"/>
    </row>
    <row r="4" spans="1:19">
      <c r="A4" t="str">
        <f>Secteurs!$B$4</f>
        <v>Abattage / découpe</v>
      </c>
      <c r="B4" t="str">
        <f>Produits!$B$11</f>
        <v>Morceaux, congelés</v>
      </c>
      <c r="C4" s="67">
        <f>'Fabrication - PRODCOM'!C14/10^6</f>
        <v>223.10756699999999</v>
      </c>
      <c r="E4" s="27" t="str">
        <f>Etiquettes!$C$7</f>
        <v>kt</v>
      </c>
      <c r="F4" s="111" t="str">
        <f>Etiquettes!$C$4</f>
        <v>Viande bovine</v>
      </c>
      <c r="G4" s="27">
        <f>Etiquettes!$H$6</f>
        <v>2015</v>
      </c>
      <c r="H4" s="27" t="str">
        <f>Etiquettes!$C$5</f>
        <v>France entière</v>
      </c>
      <c r="I4" s="111" t="s">
        <v>497</v>
      </c>
      <c r="J4" s="27"/>
      <c r="K4" t="s">
        <v>487</v>
      </c>
      <c r="L4" s="111" t="str" cm="1">
        <f t="array" aca="1" ref="L4" ca="1">[1]!NOM_FEUILLE('Fabrication - PRODCOM'!$A$1)</f>
        <v>Fabrication - PRODCOM</v>
      </c>
      <c r="M4" s="27" t="str">
        <f>Etiquettes!$H$11</f>
        <v>Volume</v>
      </c>
      <c r="N4" s="112" t="str">
        <f t="shared" si="0"/>
        <v>Production de morceaux congelés = 223 kt (Prodcom - Eurostat)</v>
      </c>
      <c r="O4" s="27" t="str">
        <f>Etiquettes!$I$15</f>
        <v>Robuste</v>
      </c>
      <c r="P4" s="111" t="str">
        <f>Etiquettes!$H$16</f>
        <v>Données collectées</v>
      </c>
      <c r="Q4" s="111" t="str">
        <f>Etiquettes!$H$17</f>
        <v>Donnée collectée (valeur du flux ou coefficient)</v>
      </c>
      <c r="R4" t="s">
        <v>457</v>
      </c>
      <c r="S4" s="213"/>
    </row>
    <row r="5" spans="1:19">
      <c r="A5" t="str">
        <f>Secteurs!$B$4</f>
        <v>Abattage / découpe</v>
      </c>
      <c r="B5" t="str">
        <f>Produits!$B$8</f>
        <v>Carcasses, fraîches</v>
      </c>
      <c r="C5" s="67"/>
      <c r="D5" s="72"/>
      <c r="E5" s="27" t="str">
        <f>Etiquettes!$C$7</f>
        <v>kt</v>
      </c>
      <c r="F5" s="111" t="str">
        <f>Etiquettes!$C$4</f>
        <v>Viande bovine</v>
      </c>
      <c r="G5" s="27">
        <f>Etiquettes!$I$6</f>
        <v>2019</v>
      </c>
      <c r="H5" s="27" t="str">
        <f>Etiquettes!$C$5</f>
        <v>France entière</v>
      </c>
      <c r="I5" s="111" t="s">
        <v>495</v>
      </c>
      <c r="J5" s="111" t="s">
        <v>547</v>
      </c>
      <c r="K5" t="s">
        <v>487</v>
      </c>
      <c r="L5" s="111" t="str" cm="1">
        <f t="array" aca="1" ref="L5" ca="1">[1]!NOM_FEUILLE('Fabrication - PRODCOM'!$A$1)</f>
        <v>Fabrication - PRODCOM</v>
      </c>
      <c r="M5" s="27" t="str">
        <f>Etiquettes!$H$11</f>
        <v>Volume</v>
      </c>
      <c r="N5" s="112" t="str">
        <f t="shared" si="0"/>
        <v>Production de carcasses fraîches</v>
      </c>
      <c r="O5" s="27" t="str">
        <f>Etiquettes!$I$15</f>
        <v>Robuste</v>
      </c>
      <c r="P5" s="111" t="s">
        <v>663</v>
      </c>
      <c r="Q5" s="111" t="str">
        <f>Etiquettes!$J$17</f>
        <v>Donnée déterminée (par bilan matière)</v>
      </c>
      <c r="S5" s="213" t="s">
        <v>223</v>
      </c>
    </row>
    <row r="6" spans="1:19">
      <c r="A6" t="str">
        <f>Secteurs!$B$4</f>
        <v>Abattage / découpe</v>
      </c>
      <c r="B6" t="str">
        <f>Produits!$B$10</f>
        <v>Morceaux, frais</v>
      </c>
      <c r="C6" s="67">
        <f>'Fabrication - PRODCOM'!D12/10^6</f>
        <v>439.10199999999998</v>
      </c>
      <c r="E6" s="27" t="str">
        <f>Etiquettes!$C$7</f>
        <v>kt</v>
      </c>
      <c r="F6" s="111" t="str">
        <f>Etiquettes!$C$4</f>
        <v>Viande bovine</v>
      </c>
      <c r="G6" s="27">
        <f>Etiquettes!$I$6</f>
        <v>2019</v>
      </c>
      <c r="H6" s="27" t="str">
        <f>Etiquettes!$C$5</f>
        <v>France entière</v>
      </c>
      <c r="I6" s="111" t="s">
        <v>496</v>
      </c>
      <c r="J6" s="27"/>
      <c r="K6" t="s">
        <v>487</v>
      </c>
      <c r="L6" s="111" t="str" cm="1">
        <f t="array" aca="1" ref="L6" ca="1">[1]!NOM_FEUILLE('Fabrication - PRODCOM'!$A$1)</f>
        <v>Fabrication - PRODCOM</v>
      </c>
      <c r="M6" s="27" t="str">
        <f>Etiquettes!$H$11</f>
        <v>Volume</v>
      </c>
      <c r="N6" s="112" t="str">
        <f t="shared" si="0"/>
        <v>Production de morceaux frais = 439 kt (Prodcom - Eurostat)</v>
      </c>
      <c r="O6" s="27" t="str">
        <f>Etiquettes!$I$15</f>
        <v>Robuste</v>
      </c>
      <c r="P6" s="111" t="str">
        <f>Etiquettes!$H$16</f>
        <v>Données collectées</v>
      </c>
      <c r="Q6" s="111" t="str">
        <f>Etiquettes!$H$17</f>
        <v>Donnée collectée (valeur du flux ou coefficient)</v>
      </c>
      <c r="S6" s="213"/>
    </row>
    <row r="7" spans="1:19">
      <c r="A7" t="str">
        <f>Secteurs!$B$4</f>
        <v>Abattage / découpe</v>
      </c>
      <c r="B7" t="str">
        <f>Produits!$B$11</f>
        <v>Morceaux, congelés</v>
      </c>
      <c r="C7" s="67">
        <f>'Fabrication - PRODCOM'!D14/10^6</f>
        <v>240.73699999999999</v>
      </c>
      <c r="E7" s="27" t="str">
        <f>Etiquettes!$C$7</f>
        <v>kt</v>
      </c>
      <c r="F7" s="111" t="str">
        <f>Etiquettes!$C$4</f>
        <v>Viande bovine</v>
      </c>
      <c r="G7" s="27">
        <f>Etiquettes!$I$6</f>
        <v>2019</v>
      </c>
      <c r="H7" s="27" t="str">
        <f>Etiquettes!$C$5</f>
        <v>France entière</v>
      </c>
      <c r="I7" s="111" t="s">
        <v>497</v>
      </c>
      <c r="J7" s="27"/>
      <c r="K7" t="s">
        <v>487</v>
      </c>
      <c r="L7" s="111" t="str" cm="1">
        <f t="array" aca="1" ref="L7" ca="1">[1]!NOM_FEUILLE('Fabrication - PRODCOM'!$A$1)</f>
        <v>Fabrication - PRODCOM</v>
      </c>
      <c r="M7" s="27" t="str">
        <f>Etiquettes!$H$11</f>
        <v>Volume</v>
      </c>
      <c r="N7" s="112" t="str">
        <f t="shared" si="0"/>
        <v>Production de morceaux congelés = 241 kt (Prodcom - Eurostat)</v>
      </c>
      <c r="O7" s="27" t="str">
        <f>Etiquettes!$I$15</f>
        <v>Robuste</v>
      </c>
      <c r="P7" s="111" t="str">
        <f>Etiquettes!$H$16</f>
        <v>Données collectées</v>
      </c>
      <c r="Q7" s="111" t="str">
        <f>Etiquettes!$H$17</f>
        <v>Donnée collectée (valeur du flux ou coefficient)</v>
      </c>
      <c r="R7" t="s">
        <v>457</v>
      </c>
      <c r="S7" s="213"/>
    </row>
    <row r="8" spans="1:19">
      <c r="A8" t="str">
        <f>Secteurs!$B$4</f>
        <v>Abattage / découpe</v>
      </c>
      <c r="B8" t="str">
        <f>Produits!$B$8</f>
        <v>Carcasses, fraîches</v>
      </c>
      <c r="C8" s="67"/>
      <c r="D8" s="72"/>
      <c r="E8" s="27" t="str">
        <f>Etiquettes!$C$7</f>
        <v>kt</v>
      </c>
      <c r="F8" s="111" t="str">
        <f>Etiquettes!$C$4</f>
        <v>Viande bovine</v>
      </c>
      <c r="G8" s="27">
        <f>Etiquettes!$J$6</f>
        <v>2023</v>
      </c>
      <c r="H8" s="27" t="str">
        <f>Etiquettes!$C$5</f>
        <v>France entière</v>
      </c>
      <c r="I8" s="111" t="s">
        <v>495</v>
      </c>
      <c r="J8" s="111" t="s">
        <v>547</v>
      </c>
      <c r="K8" t="s">
        <v>487</v>
      </c>
      <c r="L8" s="111" t="str" cm="1">
        <f t="array" aca="1" ref="L8" ca="1">[1]!NOM_FEUILLE('Fabrication - PRODCOM'!$A$1)</f>
        <v>Fabrication - PRODCOM</v>
      </c>
      <c r="M8" s="27" t="str">
        <f>Etiquettes!$H$11</f>
        <v>Volume</v>
      </c>
      <c r="N8" s="112" t="str">
        <f t="shared" si="0"/>
        <v>Production de carcasses fraîches</v>
      </c>
      <c r="O8" s="27" t="str">
        <f>Etiquettes!$I$15</f>
        <v>Robuste</v>
      </c>
      <c r="P8" s="111" t="s">
        <v>663</v>
      </c>
      <c r="Q8" s="111" t="str">
        <f>Etiquettes!$J$17</f>
        <v>Donnée déterminée (par bilan matière)</v>
      </c>
      <c r="S8" s="213" t="s">
        <v>223</v>
      </c>
    </row>
    <row r="9" spans="1:19">
      <c r="A9" t="str">
        <f>Secteurs!$B$4</f>
        <v>Abattage / découpe</v>
      </c>
      <c r="B9" t="str">
        <f>Produits!$B$10</f>
        <v>Morceaux, frais</v>
      </c>
      <c r="C9" s="67">
        <f>'Fabrication - PRODCOM'!E12/10^6</f>
        <v>395.409784</v>
      </c>
      <c r="E9" s="27" t="str">
        <f>Etiquettes!$C$7</f>
        <v>kt</v>
      </c>
      <c r="F9" s="111" t="str">
        <f>Etiquettes!$C$4</f>
        <v>Viande bovine</v>
      </c>
      <c r="G9" s="27">
        <f>Etiquettes!$J$6</f>
        <v>2023</v>
      </c>
      <c r="H9" s="27" t="str">
        <f>Etiquettes!$C$5</f>
        <v>France entière</v>
      </c>
      <c r="I9" s="111" t="s">
        <v>496</v>
      </c>
      <c r="J9" s="27"/>
      <c r="K9" t="s">
        <v>487</v>
      </c>
      <c r="L9" s="111" t="str" cm="1">
        <f t="array" aca="1" ref="L9" ca="1">[1]!NOM_FEUILLE('Fabrication - PRODCOM'!$A$1)</f>
        <v>Fabrication - PRODCOM</v>
      </c>
      <c r="M9" s="27" t="str">
        <f>Etiquettes!$H$11</f>
        <v>Volume</v>
      </c>
      <c r="N9" s="112" t="str">
        <f t="shared" si="0"/>
        <v>Production de morceaux frais = 395 kt (Prodcom - Eurostat)</v>
      </c>
      <c r="O9" s="27" t="str">
        <f>Etiquettes!$I$15</f>
        <v>Robuste</v>
      </c>
      <c r="P9" s="111" t="str">
        <f>Etiquettes!$H$16</f>
        <v>Données collectées</v>
      </c>
      <c r="Q9" s="111" t="str">
        <f>Etiquettes!$H$17</f>
        <v>Donnée collectée (valeur du flux ou coefficient)</v>
      </c>
      <c r="S9" s="213"/>
    </row>
    <row r="10" spans="1:19">
      <c r="A10" t="str">
        <f>Secteurs!$B$4</f>
        <v>Abattage / découpe</v>
      </c>
      <c r="B10" t="str">
        <f>Produits!$B$11</f>
        <v>Morceaux, congelés</v>
      </c>
      <c r="C10" s="67">
        <f>'Fabrication - PRODCOM'!E14/10^6</f>
        <v>226.593605</v>
      </c>
      <c r="E10" s="27" t="str">
        <f>Etiquettes!$C$7</f>
        <v>kt</v>
      </c>
      <c r="F10" s="111" t="str">
        <f>Etiquettes!$C$4</f>
        <v>Viande bovine</v>
      </c>
      <c r="G10" s="27">
        <f>Etiquettes!$J$6</f>
        <v>2023</v>
      </c>
      <c r="H10" s="27" t="str">
        <f>Etiquettes!$C$5</f>
        <v>France entière</v>
      </c>
      <c r="I10" s="111" t="s">
        <v>497</v>
      </c>
      <c r="J10" s="27"/>
      <c r="K10" t="s">
        <v>487</v>
      </c>
      <c r="L10" s="111" t="str" cm="1">
        <f t="array" aca="1" ref="L10" ca="1">[1]!NOM_FEUILLE('Fabrication - PRODCOM'!$A$1)</f>
        <v>Fabrication - PRODCOM</v>
      </c>
      <c r="M10" s="27" t="str">
        <f>Etiquettes!$H$11</f>
        <v>Volume</v>
      </c>
      <c r="N10" s="112" t="str">
        <f t="shared" si="0"/>
        <v>Production de morceaux congelés = 227 kt (Prodcom - Eurostat)</v>
      </c>
      <c r="O10" s="27" t="str">
        <f>Etiquettes!$I$15</f>
        <v>Robuste</v>
      </c>
      <c r="P10" s="111" t="str">
        <f>Etiquettes!$H$16</f>
        <v>Données collectées</v>
      </c>
      <c r="Q10" s="111" t="str">
        <f>Etiquettes!$H$17</f>
        <v>Donnée collectée (valeur du flux ou coefficient)</v>
      </c>
      <c r="R10" t="s">
        <v>457</v>
      </c>
      <c r="S10" s="213"/>
    </row>
    <row r="13" spans="1:19">
      <c r="C13" s="67"/>
    </row>
    <row r="14" spans="1:19">
      <c r="C14" s="67"/>
    </row>
    <row r="15" spans="1:19">
      <c r="C15" s="67"/>
    </row>
  </sheetData>
  <mergeCells count="3">
    <mergeCell ref="S8:S10"/>
    <mergeCell ref="S2:S4"/>
    <mergeCell ref="S5:S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sheetPr>
    <tabColor rgb="FFFFC000"/>
  </sheetPr>
  <dimension ref="A1:L35"/>
  <sheetViews>
    <sheetView workbookViewId="0">
      <selection activeCell="Z40" sqref="Z40"/>
    </sheetView>
  </sheetViews>
  <sheetFormatPr baseColWidth="10" defaultColWidth="8.88671875" defaultRowHeight="11.4" customHeight="1"/>
  <cols>
    <col min="1" max="1" width="14.88671875" style="49" customWidth="1"/>
    <col min="2" max="2" width="96.33203125" style="49" customWidth="1"/>
    <col min="3" max="5" width="10" style="49" customWidth="1"/>
    <col min="6" max="6" width="8.88671875" style="49"/>
    <col min="7" max="7" width="10.6640625" style="49" bestFit="1" customWidth="1"/>
    <col min="8" max="16384" width="8.88671875" style="49"/>
  </cols>
  <sheetData>
    <row r="1" spans="1:6" ht="14.4">
      <c r="A1" s="84" t="s">
        <v>260</v>
      </c>
      <c r="B1"/>
      <c r="C1"/>
      <c r="D1"/>
      <c r="E1"/>
    </row>
    <row r="2" spans="1:6" ht="14.4">
      <c r="A2" s="84" t="s">
        <v>152</v>
      </c>
      <c r="B2" s="85" t="s">
        <v>231</v>
      </c>
      <c r="C2"/>
      <c r="D2"/>
      <c r="E2"/>
    </row>
    <row r="3" spans="1:6" ht="14.4">
      <c r="A3" s="84" t="s">
        <v>232</v>
      </c>
      <c r="B3" s="84" t="s">
        <v>233</v>
      </c>
      <c r="C3"/>
      <c r="D3"/>
      <c r="E3"/>
    </row>
    <row r="4" spans="1:6" ht="14.4">
      <c r="A4"/>
      <c r="B4"/>
      <c r="C4"/>
      <c r="D4"/>
      <c r="E4"/>
    </row>
    <row r="5" spans="1:6" ht="14.4">
      <c r="A5" s="85" t="s">
        <v>234</v>
      </c>
      <c r="B5"/>
      <c r="C5" s="84" t="s">
        <v>153</v>
      </c>
      <c r="D5"/>
      <c r="E5"/>
    </row>
    <row r="6" spans="1:6" ht="14.4">
      <c r="A6" s="85" t="s">
        <v>154</v>
      </c>
      <c r="B6"/>
      <c r="C6" s="84" t="s">
        <v>155</v>
      </c>
      <c r="D6"/>
      <c r="E6"/>
    </row>
    <row r="7" spans="1:6" ht="14.4">
      <c r="A7" s="85" t="s">
        <v>156</v>
      </c>
      <c r="B7"/>
      <c r="C7" s="84" t="s">
        <v>157</v>
      </c>
      <c r="D7"/>
      <c r="E7"/>
    </row>
    <row r="8" spans="1:6" ht="14.4">
      <c r="A8"/>
      <c r="B8"/>
      <c r="C8"/>
      <c r="D8"/>
      <c r="E8"/>
    </row>
    <row r="9" spans="1:6" ht="14.4">
      <c r="A9" s="214" t="s">
        <v>158</v>
      </c>
      <c r="B9" s="214" t="s">
        <v>158</v>
      </c>
      <c r="C9" s="86" t="s">
        <v>100</v>
      </c>
      <c r="D9" s="86" t="s">
        <v>101</v>
      </c>
      <c r="E9" s="86" t="s">
        <v>102</v>
      </c>
    </row>
    <row r="10" spans="1:6" ht="14.4">
      <c r="A10" s="87" t="s">
        <v>159</v>
      </c>
      <c r="B10" s="87" t="s">
        <v>235</v>
      </c>
      <c r="C10" s="88" t="s">
        <v>160</v>
      </c>
      <c r="D10" s="88" t="s">
        <v>160</v>
      </c>
      <c r="E10" s="88" t="s">
        <v>160</v>
      </c>
    </row>
    <row r="11" spans="1:6" ht="14.4">
      <c r="A11" s="89" t="s">
        <v>161</v>
      </c>
      <c r="B11" s="89" t="s">
        <v>236</v>
      </c>
      <c r="C11" s="90">
        <v>449314166</v>
      </c>
      <c r="D11" s="90">
        <v>387433000</v>
      </c>
      <c r="E11" s="90">
        <v>362269876</v>
      </c>
    </row>
    <row r="12" spans="1:6" ht="14.4">
      <c r="A12" s="89" t="s">
        <v>162</v>
      </c>
      <c r="B12" s="89" t="s">
        <v>237</v>
      </c>
      <c r="C12" s="92">
        <v>474277933</v>
      </c>
      <c r="D12" s="92">
        <v>439102000</v>
      </c>
      <c r="E12" s="92">
        <v>395409784</v>
      </c>
    </row>
    <row r="13" spans="1:6" ht="14.4">
      <c r="A13" s="89" t="s">
        <v>163</v>
      </c>
      <c r="B13" s="89" t="s">
        <v>238</v>
      </c>
      <c r="C13" s="90">
        <v>184870706</v>
      </c>
      <c r="D13" s="90">
        <v>156799000</v>
      </c>
      <c r="E13" s="90">
        <v>150711205</v>
      </c>
    </row>
    <row r="14" spans="1:6" ht="14.4">
      <c r="A14" s="89" t="s">
        <v>164</v>
      </c>
      <c r="B14" s="89" t="s">
        <v>239</v>
      </c>
      <c r="C14" s="92">
        <v>223107567</v>
      </c>
      <c r="D14" s="92">
        <v>240737000</v>
      </c>
      <c r="E14" s="92">
        <v>226593605</v>
      </c>
    </row>
    <row r="15" spans="1:6" ht="14.4">
      <c r="A15" s="89" t="s">
        <v>165</v>
      </c>
      <c r="B15" s="89" t="s">
        <v>240</v>
      </c>
      <c r="C15" s="90">
        <v>58037269</v>
      </c>
      <c r="D15" s="90">
        <v>64780000</v>
      </c>
      <c r="E15" s="90">
        <v>88664631</v>
      </c>
    </row>
    <row r="16" spans="1:6" ht="14.4">
      <c r="A16" s="89" t="s">
        <v>166</v>
      </c>
      <c r="B16" s="89" t="s">
        <v>241</v>
      </c>
      <c r="C16" s="91">
        <v>4508467</v>
      </c>
      <c r="D16" s="91">
        <v>3751970</v>
      </c>
      <c r="E16" s="91">
        <v>3696418</v>
      </c>
      <c r="F16" s="49" t="s">
        <v>450</v>
      </c>
    </row>
    <row r="17" spans="1:12" ht="14.4">
      <c r="A17" s="89" t="s">
        <v>167</v>
      </c>
      <c r="B17" s="89" t="s">
        <v>242</v>
      </c>
      <c r="C17" s="90">
        <v>489835</v>
      </c>
      <c r="D17" s="90" t="s">
        <v>168</v>
      </c>
      <c r="E17" s="90" t="s">
        <v>168</v>
      </c>
      <c r="L17" s="71"/>
    </row>
    <row r="18" spans="1:12" ht="14.4">
      <c r="A18" s="89" t="s">
        <v>169</v>
      </c>
      <c r="B18" s="89" t="s">
        <v>243</v>
      </c>
      <c r="C18" s="91">
        <v>246690671</v>
      </c>
      <c r="D18" s="91">
        <v>220169000</v>
      </c>
      <c r="E18" s="91">
        <v>214910678</v>
      </c>
    </row>
    <row r="19" spans="1:12" ht="14.4">
      <c r="A19" s="89" t="s">
        <v>170</v>
      </c>
      <c r="B19" s="89" t="s">
        <v>244</v>
      </c>
      <c r="C19" s="90">
        <v>76302659</v>
      </c>
      <c r="D19" s="90">
        <v>91106000</v>
      </c>
      <c r="E19" s="90" t="s">
        <v>168</v>
      </c>
    </row>
    <row r="20" spans="1:12" ht="14.4">
      <c r="A20" s="89" t="s">
        <v>171</v>
      </c>
      <c r="B20" s="89" t="s">
        <v>245</v>
      </c>
      <c r="C20" s="91">
        <v>1074189976</v>
      </c>
      <c r="D20" s="91">
        <v>1015189000</v>
      </c>
      <c r="E20" s="91">
        <v>918645173</v>
      </c>
    </row>
    <row r="21" spans="1:12" ht="14.4">
      <c r="A21" s="89" t="s">
        <v>172</v>
      </c>
      <c r="B21" s="89" t="s">
        <v>246</v>
      </c>
      <c r="C21" s="90">
        <v>1488000</v>
      </c>
      <c r="D21" s="90">
        <v>1629000</v>
      </c>
      <c r="E21" s="90">
        <v>1944714</v>
      </c>
      <c r="G21" s="49" t="s">
        <v>19</v>
      </c>
    </row>
    <row r="22" spans="1:12" ht="14.4">
      <c r="A22" s="89" t="s">
        <v>173</v>
      </c>
      <c r="B22" s="89" t="s">
        <v>247</v>
      </c>
      <c r="C22" s="91">
        <v>1043000</v>
      </c>
      <c r="D22" s="91">
        <v>1112000</v>
      </c>
      <c r="E22" s="91">
        <v>2699662</v>
      </c>
      <c r="G22" s="49" t="s">
        <v>452</v>
      </c>
    </row>
    <row r="23" spans="1:12" ht="14.4">
      <c r="A23" s="89" t="s">
        <v>174</v>
      </c>
      <c r="B23" s="89" t="s">
        <v>248</v>
      </c>
      <c r="C23" s="90">
        <v>441630415</v>
      </c>
      <c r="D23" s="90">
        <v>437850000</v>
      </c>
      <c r="E23" s="90" t="s">
        <v>168</v>
      </c>
      <c r="G23" s="49" t="s">
        <v>451</v>
      </c>
    </row>
    <row r="24" spans="1:12" ht="14.4">
      <c r="A24" s="89" t="s">
        <v>175</v>
      </c>
      <c r="B24" s="89" t="s">
        <v>249</v>
      </c>
      <c r="C24" s="91">
        <v>15080758</v>
      </c>
      <c r="D24" s="91">
        <v>11290000</v>
      </c>
      <c r="E24" s="91">
        <v>9300046</v>
      </c>
      <c r="G24" s="49" t="s">
        <v>453</v>
      </c>
    </row>
    <row r="25" spans="1:12" ht="14.4">
      <c r="A25" s="89" t="s">
        <v>176</v>
      </c>
      <c r="B25" s="89" t="s">
        <v>250</v>
      </c>
      <c r="C25" s="90">
        <v>29135000</v>
      </c>
      <c r="D25" s="90">
        <v>47017000</v>
      </c>
      <c r="E25" s="90">
        <v>63510520</v>
      </c>
      <c r="G25" s="71" t="s">
        <v>454</v>
      </c>
    </row>
    <row r="26" spans="1:12" ht="14.4">
      <c r="A26" s="89" t="s">
        <v>177</v>
      </c>
      <c r="B26" s="89" t="s">
        <v>251</v>
      </c>
      <c r="C26" s="91">
        <v>627937609</v>
      </c>
      <c r="D26" s="91">
        <v>566119000</v>
      </c>
      <c r="E26" s="91">
        <v>462542981</v>
      </c>
    </row>
    <row r="27" spans="1:12" ht="14.4">
      <c r="A27" s="89" t="s">
        <v>178</v>
      </c>
      <c r="B27" s="89" t="s">
        <v>252</v>
      </c>
      <c r="C27" s="90">
        <v>0</v>
      </c>
      <c r="D27" s="90">
        <v>0</v>
      </c>
      <c r="E27" s="90">
        <v>0</v>
      </c>
    </row>
    <row r="28" spans="1:12" ht="14.4">
      <c r="A28" s="89" t="s">
        <v>179</v>
      </c>
      <c r="B28" s="89" t="s">
        <v>253</v>
      </c>
      <c r="C28" s="91">
        <v>196676430</v>
      </c>
      <c r="D28" s="91" t="s">
        <v>168</v>
      </c>
      <c r="E28" s="91">
        <v>137906527</v>
      </c>
    </row>
    <row r="29" spans="1:12" ht="14.4">
      <c r="A29" s="89" t="s">
        <v>180</v>
      </c>
      <c r="B29" s="89" t="s">
        <v>254</v>
      </c>
      <c r="C29" s="90">
        <v>0</v>
      </c>
      <c r="D29" s="90">
        <v>0</v>
      </c>
      <c r="E29" s="90" t="s">
        <v>168</v>
      </c>
    </row>
    <row r="30" spans="1:12" ht="14.4">
      <c r="A30" s="89" t="s">
        <v>181</v>
      </c>
      <c r="B30" s="89" t="s">
        <v>255</v>
      </c>
      <c r="C30" s="91">
        <v>0</v>
      </c>
      <c r="D30" s="91">
        <v>0</v>
      </c>
      <c r="E30" s="91">
        <v>0</v>
      </c>
    </row>
    <row r="31" spans="1:12" ht="14.4">
      <c r="A31" s="89" t="s">
        <v>182</v>
      </c>
      <c r="B31" s="89" t="s">
        <v>256</v>
      </c>
      <c r="C31" s="90">
        <v>463484857</v>
      </c>
      <c r="D31" s="90">
        <v>560031000</v>
      </c>
      <c r="E31" s="90" t="s">
        <v>168</v>
      </c>
    </row>
    <row r="32" spans="1:12" ht="14.4">
      <c r="A32" s="89" t="s">
        <v>183</v>
      </c>
      <c r="B32" s="89" t="s">
        <v>257</v>
      </c>
      <c r="C32" s="91">
        <v>0</v>
      </c>
      <c r="D32" s="91">
        <v>0</v>
      </c>
      <c r="E32" s="91" t="s">
        <v>168</v>
      </c>
    </row>
    <row r="33" spans="1:5" ht="11.4" customHeight="1">
      <c r="A33"/>
      <c r="B33"/>
      <c r="C33"/>
      <c r="D33"/>
      <c r="E33"/>
    </row>
    <row r="34" spans="1:5" ht="14.4">
      <c r="A34" s="85" t="s">
        <v>258</v>
      </c>
      <c r="B34"/>
      <c r="C34"/>
      <c r="D34"/>
      <c r="E34"/>
    </row>
    <row r="35" spans="1:5" ht="14.4">
      <c r="A35" s="85" t="s">
        <v>168</v>
      </c>
      <c r="B35" s="84" t="s">
        <v>259</v>
      </c>
      <c r="C35"/>
      <c r="D35"/>
      <c r="E35"/>
    </row>
  </sheetData>
  <mergeCells count="1">
    <mergeCell ref="A9:B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CF060-DEC0-48FD-A7FE-00A41CC31BCF}">
  <sheetPr>
    <tabColor rgb="FF92D050"/>
  </sheetPr>
  <dimension ref="A1:S14"/>
  <sheetViews>
    <sheetView workbookViewId="0">
      <pane xSplit="2" ySplit="1" topLeftCell="C2" activePane="bottomRight" state="frozen"/>
      <selection pane="topRight" activeCell="C1" sqref="C1"/>
      <selection pane="bottomLeft" activeCell="A2" sqref="A2"/>
      <selection pane="bottomRight" activeCell="Q10" sqref="Q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Secteurs!$B$31</f>
        <v>Importations</v>
      </c>
      <c r="B2" t="str">
        <f>Produits!$B$12</f>
        <v>Abats</v>
      </c>
      <c r="C2" s="67">
        <f>('Comext - Eurostat'!C29+'Comext - Eurostat'!C30+'Comext - Eurostat'!C32+'Comext - Eurostat'!C33+'Comext - Eurostat'!C35+'Comext - Eurostat'!C36)/10^4</f>
        <v>34.577356999999999</v>
      </c>
      <c r="E2" s="27" t="str">
        <f>Etiquettes!$C$7</f>
        <v>kt</v>
      </c>
      <c r="F2" s="111" t="str">
        <f>Etiquettes!$C$4</f>
        <v>Viande bovine</v>
      </c>
      <c r="G2" s="27">
        <f>Etiquettes!$H$6</f>
        <v>2015</v>
      </c>
      <c r="H2" s="27" t="str">
        <f>Etiquettes!$C$5</f>
        <v>France entière</v>
      </c>
      <c r="I2" s="111" t="s">
        <v>498</v>
      </c>
      <c r="J2"/>
      <c r="K2" t="s">
        <v>488</v>
      </c>
      <c r="L2" s="111" t="str" cm="1">
        <f t="array" aca="1" ref="L2" ca="1">[1]!NOM_FEUILLE('Comext - Eurostat'!$A$1)</f>
        <v>Comext - Eurostat</v>
      </c>
      <c r="M2" s="27" t="str">
        <f>Etiquettes!$H$11</f>
        <v>Volume</v>
      </c>
      <c r="N2" s="112" t="str">
        <f t="shared" ref="N2:N13" si="0">_xlfn.CONCAT(I2,IF(OR(ISBLANK(C2),ISERROR(C2)),"",_xlfn.CONCAT(" = ",MROUND(C2,1)," ",E2," (",K2,")")))</f>
        <v>Importation d'abats = 35 kt (Douanes - Eurostat)</v>
      </c>
      <c r="O2" s="27" t="str">
        <f>Etiquettes!$H$15</f>
        <v>Fiable</v>
      </c>
      <c r="P2" s="111" t="str">
        <f>Etiquettes!$H$16</f>
        <v>Données collectées</v>
      </c>
      <c r="Q2" s="111" t="str">
        <f>Etiquettes!$H$17</f>
        <v>Donnée collectée (valeur du flux ou coefficient)</v>
      </c>
      <c r="S2" s="213"/>
    </row>
    <row r="3" spans="1:19">
      <c r="A3" t="str">
        <f>Secteurs!$B$31</f>
        <v>Importations</v>
      </c>
      <c r="B3" t="str">
        <f>Produits!$B$17</f>
        <v>C3 et alimentaire</v>
      </c>
      <c r="C3" s="67">
        <f>('Comext - Eurostat'!C42+'Comext - Eurostat'!C43+'Comext - Eurostat'!C44+'Comext - Eurostat'!C45)*'Allocation bovins'!C5/10^4</f>
        <v>9.8731977170238938</v>
      </c>
      <c r="E3" s="27" t="str">
        <f>Etiquettes!$C$7</f>
        <v>kt</v>
      </c>
      <c r="F3" s="111" t="str">
        <f>Etiquettes!$C$4</f>
        <v>Viande bovine</v>
      </c>
      <c r="G3" s="27">
        <f>Etiquettes!$H$6</f>
        <v>2015</v>
      </c>
      <c r="H3" s="27" t="str">
        <f>Etiquettes!$C$5</f>
        <v>France entière</v>
      </c>
      <c r="I3" s="111" t="s">
        <v>499</v>
      </c>
      <c r="J3" t="s">
        <v>603</v>
      </c>
      <c r="K3" t="s">
        <v>488</v>
      </c>
      <c r="L3" s="111" t="str" cm="1">
        <f t="array" aca="1" ref="L3" ca="1">[1]!NOM_FEUILLE('Comext - Eurostat'!$A$1)</f>
        <v>Comext - Eurostat</v>
      </c>
      <c r="M3" s="27" t="str">
        <f>Etiquettes!$H$11</f>
        <v>Volume</v>
      </c>
      <c r="N3" s="112" t="str">
        <f t="shared" si="0"/>
        <v>Importation de coproduits C3 et alimentaire = 10 kt (Douanes - Eurostat)</v>
      </c>
      <c r="O3" s="10" t="str">
        <f>Etiquettes!$J$15</f>
        <v>Probable</v>
      </c>
      <c r="P3" s="111" t="str">
        <f>Etiquettes!$H$16</f>
        <v>Données collectées</v>
      </c>
      <c r="Q3" s="111" t="str">
        <f>Etiquettes!$H$17</f>
        <v>Donnée collectée (valeur du flux ou coefficient)</v>
      </c>
      <c r="S3" s="213"/>
    </row>
    <row r="4" spans="1:19">
      <c r="A4" t="str">
        <f>Produits!$B$12</f>
        <v>Abats</v>
      </c>
      <c r="B4" t="str">
        <f>Secteurs!$B$32</f>
        <v>Exportations</v>
      </c>
      <c r="C4" s="67">
        <f>('Comext - Eurostat'!D29+'Comext - Eurostat'!D30+'Comext - Eurostat'!D32+'Comext - Eurostat'!D33+'Comext - Eurostat'!D34+'Comext - Eurostat'!D35+'Comext - Eurostat'!D36)/10^4</f>
        <v>44.015569999999997</v>
      </c>
      <c r="E4" s="27" t="str">
        <f>Etiquettes!$C$7</f>
        <v>kt</v>
      </c>
      <c r="F4" s="111" t="str">
        <f>Etiquettes!$C$4</f>
        <v>Viande bovine</v>
      </c>
      <c r="G4" s="27">
        <f>Etiquettes!$H$6</f>
        <v>2015</v>
      </c>
      <c r="H4" s="27" t="str">
        <f>Etiquettes!$C$5</f>
        <v>France entière</v>
      </c>
      <c r="I4" s="111" t="s">
        <v>500</v>
      </c>
      <c r="J4" s="27"/>
      <c r="K4" t="s">
        <v>488</v>
      </c>
      <c r="L4" s="111" t="str" cm="1">
        <f t="array" aca="1" ref="L4" ca="1">[1]!NOM_FEUILLE('Comext - Eurostat'!$A$1)</f>
        <v>Comext - Eurostat</v>
      </c>
      <c r="M4" s="27" t="str">
        <f>Etiquettes!$H$11</f>
        <v>Volume</v>
      </c>
      <c r="N4" s="112" t="str">
        <f t="shared" si="0"/>
        <v>Exportation d'abats = 44 kt (Douanes - Eurostat)</v>
      </c>
      <c r="O4" s="27" t="str">
        <f>Etiquettes!$H$15</f>
        <v>Fiable</v>
      </c>
      <c r="P4" s="111" t="str">
        <f>Etiquettes!$H$16</f>
        <v>Données collectées</v>
      </c>
      <c r="Q4" s="111" t="str">
        <f>Etiquettes!$H$17</f>
        <v>Donnée collectée (valeur du flux ou coefficient)</v>
      </c>
      <c r="S4" s="213"/>
    </row>
    <row r="5" spans="1:19">
      <c r="A5" t="str">
        <f>Produits!$B$17</f>
        <v>C3 et alimentaire</v>
      </c>
      <c r="B5" t="str">
        <f>Secteurs!$B$32</f>
        <v>Exportations</v>
      </c>
      <c r="C5" s="67">
        <f>('Comext - Eurostat'!D42+'Comext - Eurostat'!D43+'Comext - Eurostat'!D44+'Comext - Eurostat'!D45)*'Allocation bovins'!C5/10^4</f>
        <v>88.208902135458302</v>
      </c>
      <c r="E5" s="27" t="str">
        <f>Etiquettes!$C$7</f>
        <v>kt</v>
      </c>
      <c r="F5" s="111" t="str">
        <f>Etiquettes!$C$4</f>
        <v>Viande bovine</v>
      </c>
      <c r="G5" s="27">
        <f>Etiquettes!$H$6</f>
        <v>2015</v>
      </c>
      <c r="H5" s="27" t="str">
        <f>Etiquettes!$C$5</f>
        <v>France entière</v>
      </c>
      <c r="I5" s="111" t="s">
        <v>501</v>
      </c>
      <c r="J5" t="s">
        <v>603</v>
      </c>
      <c r="K5" t="s">
        <v>488</v>
      </c>
      <c r="L5" s="111" t="str" cm="1">
        <f t="array" aca="1" ref="L5" ca="1">[1]!NOM_FEUILLE('Comext - Eurostat'!$A$1)</f>
        <v>Comext - Eurostat</v>
      </c>
      <c r="M5" s="27" t="str">
        <f>Etiquettes!$H$11</f>
        <v>Volume</v>
      </c>
      <c r="N5" s="112" t="str">
        <f t="shared" si="0"/>
        <v>Exportation de coproduits C3 et alimentaire = 88 kt (Douanes - Eurostat)</v>
      </c>
      <c r="O5" s="10" t="str">
        <f>Etiquettes!$J$15</f>
        <v>Probable</v>
      </c>
      <c r="P5" s="111" t="str">
        <f>Etiquettes!$H$16</f>
        <v>Données collectées</v>
      </c>
      <c r="Q5" s="111" t="str">
        <f>Etiquettes!$H$17</f>
        <v>Donnée collectée (valeur du flux ou coefficient)</v>
      </c>
      <c r="S5" s="213"/>
    </row>
    <row r="6" spans="1:19">
      <c r="A6" t="str">
        <f>Secteurs!$B$31</f>
        <v>Importations</v>
      </c>
      <c r="B6" t="str">
        <f>Produits!$B$12</f>
        <v>Abats</v>
      </c>
      <c r="C6" s="67">
        <f>('Comext - Eurostat'!E29+'Comext - Eurostat'!E30+'Comext - Eurostat'!E32+'Comext - Eurostat'!E33+'Comext - Eurostat'!E35+'Comext - Eurostat'!E36)/10^4</f>
        <v>31.147140000000004</v>
      </c>
      <c r="E6" s="27" t="str">
        <f>Etiquettes!$C$7</f>
        <v>kt</v>
      </c>
      <c r="F6" s="111" t="str">
        <f>Etiquettes!$C$4</f>
        <v>Viande bovine</v>
      </c>
      <c r="G6" s="27">
        <f>Etiquettes!$I$6</f>
        <v>2019</v>
      </c>
      <c r="H6" s="27" t="str">
        <f>Etiquettes!$C$5</f>
        <v>France entière</v>
      </c>
      <c r="I6" s="111" t="s">
        <v>498</v>
      </c>
      <c r="J6"/>
      <c r="K6" t="s">
        <v>488</v>
      </c>
      <c r="L6" s="111" t="str" cm="1">
        <f t="array" aca="1" ref="L6" ca="1">[1]!NOM_FEUILLE('Comext - Eurostat'!$A$1)</f>
        <v>Comext - Eurostat</v>
      </c>
      <c r="M6" s="27" t="str">
        <f>Etiquettes!$H$11</f>
        <v>Volume</v>
      </c>
      <c r="N6" s="112" t="str">
        <f t="shared" si="0"/>
        <v>Importation d'abats = 31 kt (Douanes - Eurostat)</v>
      </c>
      <c r="O6" s="27" t="str">
        <f>Etiquettes!$H$15</f>
        <v>Fiable</v>
      </c>
      <c r="P6" s="111" t="str">
        <f>Etiquettes!$H$16</f>
        <v>Données collectées</v>
      </c>
      <c r="Q6" s="111" t="str">
        <f>Etiquettes!$H$17</f>
        <v>Donnée collectée (valeur du flux ou coefficient)</v>
      </c>
      <c r="S6" s="213"/>
    </row>
    <row r="7" spans="1:19">
      <c r="A7" t="str">
        <f>Secteurs!$B$31</f>
        <v>Importations</v>
      </c>
      <c r="B7" t="str">
        <f>Produits!$B$17</f>
        <v>C3 et alimentaire</v>
      </c>
      <c r="C7" s="67">
        <f>('Comext - Eurostat'!E42+'Comext - Eurostat'!E43+'Comext - Eurostat'!E44+'Comext - Eurostat'!E45)*'Allocation bovins'!D5/10^4</f>
        <v>14.396324612215269</v>
      </c>
      <c r="E7" s="27" t="str">
        <f>Etiquettes!$C$7</f>
        <v>kt</v>
      </c>
      <c r="F7" s="111" t="str">
        <f>Etiquettes!$C$4</f>
        <v>Viande bovine</v>
      </c>
      <c r="G7" s="27">
        <f>Etiquettes!$I$6</f>
        <v>2019</v>
      </c>
      <c r="H7" s="27" t="str">
        <f>Etiquettes!$C$5</f>
        <v>France entière</v>
      </c>
      <c r="I7" s="111" t="s">
        <v>499</v>
      </c>
      <c r="J7" t="s">
        <v>603</v>
      </c>
      <c r="K7" t="s">
        <v>488</v>
      </c>
      <c r="L7" s="111" t="str" cm="1">
        <f t="array" aca="1" ref="L7" ca="1">[1]!NOM_FEUILLE('Comext - Eurostat'!$A$1)</f>
        <v>Comext - Eurostat</v>
      </c>
      <c r="M7" s="27" t="str">
        <f>Etiquettes!$H$11</f>
        <v>Volume</v>
      </c>
      <c r="N7" s="112" t="str">
        <f t="shared" si="0"/>
        <v>Importation de coproduits C3 et alimentaire = 14 kt (Douanes - Eurostat)</v>
      </c>
      <c r="O7" s="10" t="str">
        <f>Etiquettes!$J$15</f>
        <v>Probable</v>
      </c>
      <c r="P7" s="111" t="str">
        <f>Etiquettes!$H$16</f>
        <v>Données collectées</v>
      </c>
      <c r="Q7" s="111" t="str">
        <f>Etiquettes!$H$17</f>
        <v>Donnée collectée (valeur du flux ou coefficient)</v>
      </c>
      <c r="S7" s="213"/>
    </row>
    <row r="8" spans="1:19">
      <c r="A8" t="str">
        <f>Produits!$B$12</f>
        <v>Abats</v>
      </c>
      <c r="B8" t="str">
        <f>Secteurs!$B$32</f>
        <v>Exportations</v>
      </c>
      <c r="C8" s="67">
        <f>('Comext - Eurostat'!F29+'Comext - Eurostat'!F30+'Comext - Eurostat'!F32+'Comext - Eurostat'!F33+'Comext - Eurostat'!F34+'Comext - Eurostat'!F35+'Comext - Eurostat'!F36)/10^4</f>
        <v>46.332675999999999</v>
      </c>
      <c r="E8" s="27" t="str">
        <f>Etiquettes!$C$7</f>
        <v>kt</v>
      </c>
      <c r="F8" s="111" t="str">
        <f>Etiquettes!$C$4</f>
        <v>Viande bovine</v>
      </c>
      <c r="G8" s="27">
        <f>Etiquettes!$I$6</f>
        <v>2019</v>
      </c>
      <c r="H8" s="27" t="str">
        <f>Etiquettes!$C$5</f>
        <v>France entière</v>
      </c>
      <c r="I8" s="111" t="s">
        <v>500</v>
      </c>
      <c r="J8" s="27"/>
      <c r="K8" t="s">
        <v>488</v>
      </c>
      <c r="L8" s="111" t="str" cm="1">
        <f t="array" aca="1" ref="L8" ca="1">[1]!NOM_FEUILLE('Comext - Eurostat'!$A$1)</f>
        <v>Comext - Eurostat</v>
      </c>
      <c r="M8" s="27" t="str">
        <f>Etiquettes!$H$11</f>
        <v>Volume</v>
      </c>
      <c r="N8" s="112" t="str">
        <f t="shared" si="0"/>
        <v>Exportation d'abats = 46 kt (Douanes - Eurostat)</v>
      </c>
      <c r="O8" s="27" t="str">
        <f>Etiquettes!$H$15</f>
        <v>Fiable</v>
      </c>
      <c r="P8" s="111" t="str">
        <f>Etiquettes!$H$16</f>
        <v>Données collectées</v>
      </c>
      <c r="Q8" s="111" t="str">
        <f>Etiquettes!$H$17</f>
        <v>Donnée collectée (valeur du flux ou coefficient)</v>
      </c>
      <c r="S8" s="213"/>
    </row>
    <row r="9" spans="1:19">
      <c r="A9" t="str">
        <f>Produits!$B$17</f>
        <v>C3 et alimentaire</v>
      </c>
      <c r="B9" t="str">
        <f>Secteurs!$B$32</f>
        <v>Exportations</v>
      </c>
      <c r="C9" s="67">
        <f>('Comext - Eurostat'!F42+'Comext - Eurostat'!F43+'Comext - Eurostat'!F44+'Comext - Eurostat'!F45)*'Allocation bovins'!D5/10^4</f>
        <v>125.41823055331125</v>
      </c>
      <c r="E9" s="27" t="str">
        <f>Etiquettes!$C$7</f>
        <v>kt</v>
      </c>
      <c r="F9" s="111" t="str">
        <f>Etiquettes!$C$4</f>
        <v>Viande bovine</v>
      </c>
      <c r="G9" s="27">
        <f>Etiquettes!$I$6</f>
        <v>2019</v>
      </c>
      <c r="H9" s="27" t="str">
        <f>Etiquettes!$C$5</f>
        <v>France entière</v>
      </c>
      <c r="I9" s="111" t="s">
        <v>501</v>
      </c>
      <c r="J9" t="s">
        <v>603</v>
      </c>
      <c r="K9" t="s">
        <v>488</v>
      </c>
      <c r="L9" s="111" t="str" cm="1">
        <f t="array" aca="1" ref="L9" ca="1">[1]!NOM_FEUILLE('Comext - Eurostat'!$A$1)</f>
        <v>Comext - Eurostat</v>
      </c>
      <c r="M9" s="27" t="str">
        <f>Etiquettes!$H$11</f>
        <v>Volume</v>
      </c>
      <c r="N9" s="112" t="str">
        <f t="shared" si="0"/>
        <v>Exportation de coproduits C3 et alimentaire = 125 kt (Douanes - Eurostat)</v>
      </c>
      <c r="O9" s="10" t="str">
        <f>Etiquettes!$J$15</f>
        <v>Probable</v>
      </c>
      <c r="P9" s="111" t="str">
        <f>Etiquettes!$H$16</f>
        <v>Données collectées</v>
      </c>
      <c r="Q9" s="111" t="str">
        <f>Etiquettes!$H$17</f>
        <v>Donnée collectée (valeur du flux ou coefficient)</v>
      </c>
      <c r="S9" s="213"/>
    </row>
    <row r="10" spans="1:19">
      <c r="A10" t="str">
        <f>Secteurs!$B$31</f>
        <v>Importations</v>
      </c>
      <c r="B10" t="str">
        <f>Produits!$B$12</f>
        <v>Abats</v>
      </c>
      <c r="C10" s="67">
        <f>('Comext - Eurostat'!G29+'Comext - Eurostat'!G30+'Comext - Eurostat'!G32+'Comext - Eurostat'!G33+'Comext - Eurostat'!G35+'Comext - Eurostat'!G36)/10^4</f>
        <v>29.327352000000001</v>
      </c>
      <c r="E10" s="27" t="str">
        <f>Etiquettes!$C$7</f>
        <v>kt</v>
      </c>
      <c r="F10" s="111" t="str">
        <f>Etiquettes!$C$4</f>
        <v>Viande bovine</v>
      </c>
      <c r="G10" s="27">
        <f>Etiquettes!$J$6</f>
        <v>2023</v>
      </c>
      <c r="H10" s="27" t="str">
        <f>Etiquettes!$C$5</f>
        <v>France entière</v>
      </c>
      <c r="I10" s="111" t="s">
        <v>498</v>
      </c>
      <c r="J10"/>
      <c r="K10" t="s">
        <v>488</v>
      </c>
      <c r="L10" s="111" t="str" cm="1">
        <f t="array" aca="1" ref="L10" ca="1">[1]!NOM_FEUILLE('Comext - Eurostat'!$A$1)</f>
        <v>Comext - Eurostat</v>
      </c>
      <c r="M10" s="27" t="str">
        <f>Etiquettes!$H$11</f>
        <v>Volume</v>
      </c>
      <c r="N10" s="112" t="str">
        <f t="shared" si="0"/>
        <v>Importation d'abats = 29 kt (Douanes - Eurostat)</v>
      </c>
      <c r="O10" s="27" t="str">
        <f>Etiquettes!$H$15</f>
        <v>Fiable</v>
      </c>
      <c r="P10" s="111" t="str">
        <f>Etiquettes!$H$16</f>
        <v>Données collectées</v>
      </c>
      <c r="Q10" s="111" t="str">
        <f>Etiquettes!$H$17</f>
        <v>Donnée collectée (valeur du flux ou coefficient)</v>
      </c>
      <c r="S10" s="213"/>
    </row>
    <row r="11" spans="1:19">
      <c r="A11" t="str">
        <f>Secteurs!$B$31</f>
        <v>Importations</v>
      </c>
      <c r="B11" t="str">
        <f>Produits!$B$17</f>
        <v>C3 et alimentaire</v>
      </c>
      <c r="C11" s="67">
        <f>('Comext - Eurostat'!G42+'Comext - Eurostat'!G43+'Comext - Eurostat'!G44+'Comext - Eurostat'!G45)*'Allocation bovins'!E5/10^4</f>
        <v>13.137449090673009</v>
      </c>
      <c r="E11" s="27" t="str">
        <f>Etiquettes!$C$7</f>
        <v>kt</v>
      </c>
      <c r="F11" s="111" t="str">
        <f>Etiquettes!$C$4</f>
        <v>Viande bovine</v>
      </c>
      <c r="G11" s="27">
        <f>Etiquettes!$J$6</f>
        <v>2023</v>
      </c>
      <c r="H11" s="27" t="str">
        <f>Etiquettes!$C$5</f>
        <v>France entière</v>
      </c>
      <c r="I11" s="111" t="s">
        <v>499</v>
      </c>
      <c r="J11" t="s">
        <v>603</v>
      </c>
      <c r="K11" t="s">
        <v>488</v>
      </c>
      <c r="L11" s="111" t="str" cm="1">
        <f t="array" aca="1" ref="L11" ca="1">[1]!NOM_FEUILLE('Comext - Eurostat'!$A$1)</f>
        <v>Comext - Eurostat</v>
      </c>
      <c r="M11" s="27" t="str">
        <f>Etiquettes!$H$11</f>
        <v>Volume</v>
      </c>
      <c r="N11" s="112" t="str">
        <f t="shared" si="0"/>
        <v>Importation de coproduits C3 et alimentaire = 13 kt (Douanes - Eurostat)</v>
      </c>
      <c r="O11" s="10" t="str">
        <f>Etiquettes!$J$15</f>
        <v>Probable</v>
      </c>
      <c r="P11" s="111" t="str">
        <f>Etiquettes!$H$16</f>
        <v>Données collectées</v>
      </c>
      <c r="Q11" s="111" t="str">
        <f>Etiquettes!$H$17</f>
        <v>Donnée collectée (valeur du flux ou coefficient)</v>
      </c>
      <c r="S11" s="213"/>
    </row>
    <row r="12" spans="1:19">
      <c r="A12" t="str">
        <f>Produits!$B$12</f>
        <v>Abats</v>
      </c>
      <c r="B12" t="str">
        <f>Secteurs!$B$32</f>
        <v>Exportations</v>
      </c>
      <c r="C12" s="67">
        <f>('Comext - Eurostat'!H29+'Comext - Eurostat'!H30+'Comext - Eurostat'!H32+'Comext - Eurostat'!H33+'Comext - Eurostat'!H34+'Comext - Eurostat'!H35+'Comext - Eurostat'!H36)/10^4</f>
        <v>38.934718000000004</v>
      </c>
      <c r="E12" s="27" t="str">
        <f>Etiquettes!$C$7</f>
        <v>kt</v>
      </c>
      <c r="F12" s="111" t="str">
        <f>Etiquettes!$C$4</f>
        <v>Viande bovine</v>
      </c>
      <c r="G12" s="27">
        <f>Etiquettes!$J$6</f>
        <v>2023</v>
      </c>
      <c r="H12" s="27" t="str">
        <f>Etiquettes!$C$5</f>
        <v>France entière</v>
      </c>
      <c r="I12" s="111" t="s">
        <v>500</v>
      </c>
      <c r="J12" s="27"/>
      <c r="K12" t="s">
        <v>488</v>
      </c>
      <c r="L12" s="111" t="str" cm="1">
        <f t="array" aca="1" ref="L12" ca="1">[1]!NOM_FEUILLE('Comext - Eurostat'!$A$1)</f>
        <v>Comext - Eurostat</v>
      </c>
      <c r="M12" s="27" t="str">
        <f>Etiquettes!$H$11</f>
        <v>Volume</v>
      </c>
      <c r="N12" s="112" t="str">
        <f t="shared" si="0"/>
        <v>Exportation d'abats = 39 kt (Douanes - Eurostat)</v>
      </c>
      <c r="O12" s="27" t="str">
        <f>Etiquettes!$H$15</f>
        <v>Fiable</v>
      </c>
      <c r="P12" s="111" t="str">
        <f>Etiquettes!$H$16</f>
        <v>Données collectées</v>
      </c>
      <c r="Q12" s="111" t="str">
        <f>Etiquettes!$H$17</f>
        <v>Donnée collectée (valeur du flux ou coefficient)</v>
      </c>
      <c r="S12" s="213"/>
    </row>
    <row r="13" spans="1:19">
      <c r="A13" t="str">
        <f>Produits!$B$17</f>
        <v>C3 et alimentaire</v>
      </c>
      <c r="B13" t="str">
        <f>Secteurs!$B$32</f>
        <v>Exportations</v>
      </c>
      <c r="C13" s="67">
        <f>('Comext - Eurostat'!H42+'Comext - Eurostat'!H43+'Comext - Eurostat'!H44+'Comext - Eurostat'!H45)*'Allocation bovins'!E5/10^4</f>
        <v>138.02228420185736</v>
      </c>
      <c r="E13" s="27" t="str">
        <f>Etiquettes!$C$7</f>
        <v>kt</v>
      </c>
      <c r="F13" s="111" t="str">
        <f>Etiquettes!$C$4</f>
        <v>Viande bovine</v>
      </c>
      <c r="G13" s="27">
        <f>Etiquettes!$J$6</f>
        <v>2023</v>
      </c>
      <c r="H13" s="27" t="str">
        <f>Etiquettes!$C$5</f>
        <v>France entière</v>
      </c>
      <c r="I13" s="111" t="s">
        <v>501</v>
      </c>
      <c r="J13" t="s">
        <v>603</v>
      </c>
      <c r="K13" t="s">
        <v>488</v>
      </c>
      <c r="L13" s="111" t="str" cm="1">
        <f t="array" aca="1" ref="L13" ca="1">[1]!NOM_FEUILLE('Comext - Eurostat'!$A$1)</f>
        <v>Comext - Eurostat</v>
      </c>
      <c r="M13" s="27" t="str">
        <f>Etiquettes!$H$11</f>
        <v>Volume</v>
      </c>
      <c r="N13" s="112" t="str">
        <f t="shared" si="0"/>
        <v>Exportation de coproduits C3 et alimentaire = 138 kt (Douanes - Eurostat)</v>
      </c>
      <c r="O13" s="10" t="str">
        <f>Etiquettes!$J$15</f>
        <v>Probable</v>
      </c>
      <c r="P13" s="111" t="str">
        <f>Etiquettes!$H$16</f>
        <v>Données collectées</v>
      </c>
      <c r="Q13" s="111" t="str">
        <f>Etiquettes!$H$17</f>
        <v>Donnée collectée (valeur du flux ou coefficient)</v>
      </c>
      <c r="S13" s="213"/>
    </row>
    <row r="14" spans="1:19">
      <c r="C14" s="67"/>
    </row>
  </sheetData>
  <mergeCells count="3">
    <mergeCell ref="S10:S13"/>
    <mergeCell ref="S2:S5"/>
    <mergeCell ref="S6:S9"/>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J100"/>
  <sheetViews>
    <sheetView workbookViewId="0">
      <selection activeCell="F29" sqref="F29"/>
    </sheetView>
  </sheetViews>
  <sheetFormatPr baseColWidth="10" defaultColWidth="8.88671875" defaultRowHeight="11.4" customHeight="1"/>
  <cols>
    <col min="1" max="1" width="14.88671875" style="49" customWidth="1"/>
    <col min="2" max="2" width="114.77734375" style="49" customWidth="1"/>
    <col min="3" max="8" width="11" style="49" customWidth="1"/>
    <col min="9" max="9" width="8.88671875" style="49"/>
    <col min="10" max="10" width="9.109375" style="49" bestFit="1" customWidth="1"/>
    <col min="11" max="16384" width="8.88671875" style="49"/>
  </cols>
  <sheetData>
    <row r="1" spans="1:10">
      <c r="A1" s="48" t="s">
        <v>261</v>
      </c>
    </row>
    <row r="2" spans="1:10">
      <c r="A2" s="48" t="s">
        <v>152</v>
      </c>
      <c r="B2" s="50" t="s">
        <v>262</v>
      </c>
    </row>
    <row r="3" spans="1:10">
      <c r="A3" s="48" t="s">
        <v>232</v>
      </c>
      <c r="B3" s="48" t="s">
        <v>263</v>
      </c>
    </row>
    <row r="4" spans="1:10"/>
    <row r="5" spans="1:10">
      <c r="A5" s="50" t="s">
        <v>234</v>
      </c>
      <c r="C5" s="48" t="s">
        <v>153</v>
      </c>
    </row>
    <row r="6" spans="1:10">
      <c r="A6" s="50" t="s">
        <v>264</v>
      </c>
      <c r="C6" s="48" t="s">
        <v>265</v>
      </c>
    </row>
    <row r="7" spans="1:10">
      <c r="A7" s="50" t="s">
        <v>266</v>
      </c>
      <c r="C7" s="48" t="s">
        <v>267</v>
      </c>
    </row>
    <row r="8" spans="1:10">
      <c r="A8" s="50" t="s">
        <v>156</v>
      </c>
      <c r="C8" s="48" t="s">
        <v>268</v>
      </c>
    </row>
    <row r="9" spans="1:10"/>
    <row r="10" spans="1:10">
      <c r="A10" s="216" t="s">
        <v>158</v>
      </c>
      <c r="B10" s="216" t="s">
        <v>158</v>
      </c>
      <c r="C10" s="217" t="s">
        <v>100</v>
      </c>
      <c r="D10" s="217" t="s">
        <v>100</v>
      </c>
      <c r="E10" s="217" t="s">
        <v>101</v>
      </c>
      <c r="F10" s="217" t="s">
        <v>101</v>
      </c>
      <c r="G10" s="217" t="s">
        <v>102</v>
      </c>
      <c r="H10" s="217" t="s">
        <v>102</v>
      </c>
    </row>
    <row r="11" spans="1:10">
      <c r="A11" s="216" t="s">
        <v>269</v>
      </c>
      <c r="B11" s="216" t="s">
        <v>269</v>
      </c>
      <c r="C11" s="51" t="s">
        <v>270</v>
      </c>
      <c r="D11" s="51" t="s">
        <v>271</v>
      </c>
      <c r="E11" s="51" t="s">
        <v>270</v>
      </c>
      <c r="F11" s="51" t="s">
        <v>271</v>
      </c>
      <c r="G11" s="51" t="s">
        <v>270</v>
      </c>
      <c r="H11" s="51" t="s">
        <v>271</v>
      </c>
    </row>
    <row r="12" spans="1:10">
      <c r="A12" s="52" t="s">
        <v>272</v>
      </c>
      <c r="B12" s="52" t="s">
        <v>273</v>
      </c>
      <c r="C12" s="53" t="s">
        <v>160</v>
      </c>
      <c r="D12" s="53" t="s">
        <v>160</v>
      </c>
      <c r="E12" s="53" t="s">
        <v>160</v>
      </c>
      <c r="F12" s="53" t="s">
        <v>160</v>
      </c>
      <c r="G12" s="53" t="s">
        <v>160</v>
      </c>
      <c r="H12" s="53" t="s">
        <v>160</v>
      </c>
    </row>
    <row r="13" spans="1:10">
      <c r="A13" s="54" t="s">
        <v>274</v>
      </c>
      <c r="B13" s="54" t="s">
        <v>275</v>
      </c>
      <c r="C13" s="93">
        <v>109870.7</v>
      </c>
      <c r="D13" s="94">
        <v>4145627.78</v>
      </c>
      <c r="E13" s="94">
        <v>169197.54</v>
      </c>
      <c r="F13" s="94">
        <v>4656934.74</v>
      </c>
      <c r="G13" s="94">
        <v>99380.76</v>
      </c>
      <c r="H13" s="94">
        <v>4182242.52</v>
      </c>
    </row>
    <row r="14" spans="1:10">
      <c r="A14" s="54" t="s">
        <v>276</v>
      </c>
      <c r="B14" s="54" t="s">
        <v>277</v>
      </c>
      <c r="C14" s="95">
        <v>327095.08</v>
      </c>
      <c r="D14" s="95">
        <v>393225.17</v>
      </c>
      <c r="E14" s="95">
        <v>286063.56</v>
      </c>
      <c r="F14" s="95">
        <v>477778.91</v>
      </c>
      <c r="G14" s="95">
        <v>370016.64</v>
      </c>
      <c r="H14" s="95">
        <v>434276.21</v>
      </c>
      <c r="J14" s="99" t="s">
        <v>438</v>
      </c>
    </row>
    <row r="15" spans="1:10">
      <c r="A15" s="54" t="s">
        <v>278</v>
      </c>
      <c r="B15" s="54" t="s">
        <v>279</v>
      </c>
      <c r="C15" s="94">
        <v>10207.16</v>
      </c>
      <c r="D15" s="94">
        <v>147611.23000000001</v>
      </c>
      <c r="E15" s="94">
        <v>12693.27</v>
      </c>
      <c r="F15" s="94">
        <v>100792.98</v>
      </c>
      <c r="G15" s="94">
        <v>36528.49</v>
      </c>
      <c r="H15" s="94">
        <v>144033.42000000001</v>
      </c>
      <c r="J15" s="215" t="s">
        <v>224</v>
      </c>
    </row>
    <row r="16" spans="1:10">
      <c r="A16" s="54" t="s">
        <v>280</v>
      </c>
      <c r="B16" s="54" t="s">
        <v>281</v>
      </c>
      <c r="C16" s="95">
        <v>160300.13</v>
      </c>
      <c r="D16" s="95">
        <v>440312.78</v>
      </c>
      <c r="E16" s="95">
        <v>120881.71</v>
      </c>
      <c r="F16" s="95">
        <v>402244.03</v>
      </c>
      <c r="G16" s="95">
        <v>93980.64</v>
      </c>
      <c r="H16" s="95">
        <v>250639.62</v>
      </c>
      <c r="J16" s="215"/>
    </row>
    <row r="17" spans="1:10">
      <c r="A17" s="54" t="s">
        <v>282</v>
      </c>
      <c r="B17" s="54" t="s">
        <v>283</v>
      </c>
      <c r="C17" s="94">
        <v>130659.97</v>
      </c>
      <c r="D17" s="94">
        <v>416995.13</v>
      </c>
      <c r="E17" s="94">
        <v>86883.66</v>
      </c>
      <c r="F17" s="93">
        <v>398093.4</v>
      </c>
      <c r="G17" s="94">
        <v>62453.13</v>
      </c>
      <c r="H17" s="94">
        <v>376942.21</v>
      </c>
      <c r="J17" s="215"/>
    </row>
    <row r="18" spans="1:10">
      <c r="A18" s="54" t="s">
        <v>284</v>
      </c>
      <c r="B18" s="54" t="s">
        <v>285</v>
      </c>
      <c r="C18" s="95">
        <v>218184.28</v>
      </c>
      <c r="D18" s="96">
        <v>257621.2</v>
      </c>
      <c r="E18" s="95">
        <v>239468.11</v>
      </c>
      <c r="F18" s="96">
        <v>198025.5</v>
      </c>
      <c r="G18" s="95">
        <v>260772.37</v>
      </c>
      <c r="H18" s="95">
        <v>139662.75</v>
      </c>
      <c r="J18" s="215"/>
    </row>
    <row r="19" spans="1:10">
      <c r="A19" s="54" t="s">
        <v>286</v>
      </c>
      <c r="B19" s="54" t="s">
        <v>287</v>
      </c>
      <c r="C19" s="94">
        <v>1099858.79</v>
      </c>
      <c r="D19" s="94">
        <v>224532.78</v>
      </c>
      <c r="E19" s="94">
        <v>1056356.53</v>
      </c>
      <c r="F19" s="94">
        <v>264484.68</v>
      </c>
      <c r="G19" s="94">
        <v>1114369.68</v>
      </c>
      <c r="H19" s="94">
        <v>276848.98</v>
      </c>
      <c r="J19" s="215"/>
    </row>
    <row r="20" spans="1:10">
      <c r="A20" s="54" t="s">
        <v>288</v>
      </c>
      <c r="B20" s="54" t="s">
        <v>289</v>
      </c>
      <c r="C20" s="95">
        <v>1282.1300000000001</v>
      </c>
      <c r="D20" s="95">
        <v>706.81</v>
      </c>
      <c r="E20" s="95">
        <v>2842.72</v>
      </c>
      <c r="F20" s="95">
        <v>1024.22</v>
      </c>
      <c r="G20" s="95">
        <v>62.06</v>
      </c>
      <c r="H20" s="95">
        <v>38.869999999999997</v>
      </c>
      <c r="J20" s="49" t="s">
        <v>439</v>
      </c>
    </row>
    <row r="21" spans="1:10">
      <c r="A21" s="54" t="s">
        <v>290</v>
      </c>
      <c r="B21" s="54" t="s">
        <v>291</v>
      </c>
      <c r="C21" s="94">
        <v>1064.77</v>
      </c>
      <c r="D21" s="94">
        <v>1534.09</v>
      </c>
      <c r="E21" s="94">
        <v>22.33</v>
      </c>
      <c r="F21" s="94">
        <v>52.67</v>
      </c>
      <c r="G21" s="94">
        <v>222.91</v>
      </c>
      <c r="H21" s="94">
        <v>18.64</v>
      </c>
      <c r="J21" s="215" t="s">
        <v>225</v>
      </c>
    </row>
    <row r="22" spans="1:10">
      <c r="A22" s="54" t="s">
        <v>292</v>
      </c>
      <c r="B22" s="54" t="s">
        <v>293</v>
      </c>
      <c r="C22" s="95">
        <v>13325.65</v>
      </c>
      <c r="D22" s="95">
        <v>2540.98</v>
      </c>
      <c r="E22" s="95">
        <v>5907.12</v>
      </c>
      <c r="F22" s="95">
        <v>1671.37</v>
      </c>
      <c r="G22" s="95">
        <v>6882.13</v>
      </c>
      <c r="H22" s="95">
        <v>732.35</v>
      </c>
      <c r="J22" s="215"/>
    </row>
    <row r="23" spans="1:10">
      <c r="A23" s="54" t="s">
        <v>294</v>
      </c>
      <c r="B23" s="54" t="s">
        <v>295</v>
      </c>
      <c r="C23" s="94">
        <v>447.56</v>
      </c>
      <c r="D23" s="94">
        <v>26.57</v>
      </c>
      <c r="E23" s="94">
        <v>136.32</v>
      </c>
      <c r="F23" s="94">
        <v>201.42</v>
      </c>
      <c r="G23" s="93">
        <v>421.8</v>
      </c>
      <c r="H23" s="94">
        <v>147.84</v>
      </c>
      <c r="J23" s="215"/>
    </row>
    <row r="24" spans="1:10">
      <c r="A24" s="54" t="s">
        <v>296</v>
      </c>
      <c r="B24" s="54" t="s">
        <v>297</v>
      </c>
      <c r="C24" s="95">
        <v>16266.83</v>
      </c>
      <c r="D24" s="95">
        <v>8594.58</v>
      </c>
      <c r="E24" s="95">
        <v>16638.490000000002</v>
      </c>
      <c r="F24" s="95">
        <v>9340.67</v>
      </c>
      <c r="G24" s="95">
        <v>13379.61</v>
      </c>
      <c r="H24" s="95">
        <v>7976.48</v>
      </c>
      <c r="J24" s="215"/>
    </row>
    <row r="25" spans="1:10">
      <c r="A25" s="54" t="s">
        <v>298</v>
      </c>
      <c r="B25" s="54" t="s">
        <v>299</v>
      </c>
      <c r="C25" s="94">
        <v>40604.46</v>
      </c>
      <c r="D25" s="94">
        <v>7034.61</v>
      </c>
      <c r="E25" s="94">
        <v>43635.28</v>
      </c>
      <c r="F25" s="94">
        <v>4593.5200000000004</v>
      </c>
      <c r="G25" s="94">
        <v>48519.24</v>
      </c>
      <c r="H25" s="94">
        <v>3843.77</v>
      </c>
      <c r="J25" s="215"/>
    </row>
    <row r="26" spans="1:10">
      <c r="A26" s="54" t="s">
        <v>300</v>
      </c>
      <c r="B26" s="54" t="s">
        <v>301</v>
      </c>
      <c r="C26" s="95">
        <v>4017.59</v>
      </c>
      <c r="D26" s="95">
        <v>1761.62</v>
      </c>
      <c r="E26" s="95">
        <v>5336.07</v>
      </c>
      <c r="F26" s="95">
        <v>347.24</v>
      </c>
      <c r="G26" s="95">
        <v>7083.22</v>
      </c>
      <c r="H26" s="95">
        <v>667.79</v>
      </c>
      <c r="J26" s="215"/>
    </row>
    <row r="27" spans="1:10">
      <c r="A27" s="54" t="s">
        <v>302</v>
      </c>
      <c r="B27" s="54" t="s">
        <v>303</v>
      </c>
      <c r="C27" s="94">
        <v>634188.68999999994</v>
      </c>
      <c r="D27" s="94">
        <v>143399.73000000001</v>
      </c>
      <c r="E27" s="94">
        <v>671886.81</v>
      </c>
      <c r="F27" s="93">
        <v>134741.79999999999</v>
      </c>
      <c r="G27" s="94">
        <v>707481.54</v>
      </c>
      <c r="H27" s="94">
        <v>208754.22</v>
      </c>
      <c r="J27" s="215"/>
    </row>
    <row r="28" spans="1:10">
      <c r="A28" s="54" t="s">
        <v>304</v>
      </c>
      <c r="B28" s="54" t="s">
        <v>305</v>
      </c>
      <c r="C28" s="56" t="s">
        <v>168</v>
      </c>
      <c r="D28" s="56" t="s">
        <v>168</v>
      </c>
      <c r="E28" s="56" t="s">
        <v>168</v>
      </c>
      <c r="F28" s="56" t="s">
        <v>168</v>
      </c>
      <c r="G28" s="77" t="s">
        <v>168</v>
      </c>
      <c r="H28" s="77" t="s">
        <v>168</v>
      </c>
      <c r="J28" s="215" t="s">
        <v>61</v>
      </c>
    </row>
    <row r="29" spans="1:10">
      <c r="A29" s="54" t="s">
        <v>306</v>
      </c>
      <c r="B29" s="54" t="s">
        <v>307</v>
      </c>
      <c r="C29" s="94">
        <v>69037.539999999994</v>
      </c>
      <c r="D29" s="94">
        <v>2401.31</v>
      </c>
      <c r="E29" s="93">
        <v>72315.399999999994</v>
      </c>
      <c r="F29" s="94">
        <v>4350.8500000000004</v>
      </c>
      <c r="G29" s="98">
        <v>68340.77</v>
      </c>
      <c r="H29" s="98">
        <v>1962.21</v>
      </c>
      <c r="J29" s="215"/>
    </row>
    <row r="30" spans="1:10">
      <c r="A30" s="54" t="s">
        <v>308</v>
      </c>
      <c r="B30" s="54" t="s">
        <v>309</v>
      </c>
      <c r="C30" s="96">
        <v>169359.5</v>
      </c>
      <c r="D30" s="95">
        <v>95389.69</v>
      </c>
      <c r="E30" s="95">
        <v>147760.81</v>
      </c>
      <c r="F30" s="95">
        <v>89942.34</v>
      </c>
      <c r="G30" s="97">
        <v>136976.97</v>
      </c>
      <c r="H30" s="97">
        <v>103312.04</v>
      </c>
      <c r="J30" s="215"/>
    </row>
    <row r="31" spans="1:10">
      <c r="A31" s="54" t="s">
        <v>310</v>
      </c>
      <c r="B31" s="54" t="s">
        <v>311</v>
      </c>
      <c r="C31" s="55" t="s">
        <v>168</v>
      </c>
      <c r="D31" s="55" t="s">
        <v>168</v>
      </c>
      <c r="E31" s="55" t="s">
        <v>168</v>
      </c>
      <c r="F31" s="55" t="s">
        <v>168</v>
      </c>
      <c r="G31" s="76" t="s">
        <v>168</v>
      </c>
      <c r="H31" s="76" t="s">
        <v>168</v>
      </c>
      <c r="J31" s="215"/>
    </row>
    <row r="32" spans="1:10">
      <c r="A32" s="54" t="s">
        <v>312</v>
      </c>
      <c r="B32" s="54" t="s">
        <v>313</v>
      </c>
      <c r="C32" s="95">
        <v>6348.87</v>
      </c>
      <c r="D32" s="95">
        <v>2686.69</v>
      </c>
      <c r="E32" s="95">
        <v>6283.48</v>
      </c>
      <c r="F32" s="96">
        <v>2658.4</v>
      </c>
      <c r="G32" s="97">
        <v>4196.16</v>
      </c>
      <c r="H32" s="97">
        <v>5451.35</v>
      </c>
      <c r="J32" s="215"/>
    </row>
    <row r="33" spans="1:10">
      <c r="A33" s="54" t="s">
        <v>314</v>
      </c>
      <c r="B33" s="54" t="s">
        <v>315</v>
      </c>
      <c r="C33" s="94">
        <v>16563.689999999999</v>
      </c>
      <c r="D33" s="93">
        <v>54791.8</v>
      </c>
      <c r="E33" s="94">
        <v>16537.62</v>
      </c>
      <c r="F33" s="94">
        <v>80302.880000000005</v>
      </c>
      <c r="G33" s="98">
        <v>12042.09</v>
      </c>
      <c r="H33" s="98">
        <v>48538.36</v>
      </c>
      <c r="J33" s="215"/>
    </row>
    <row r="34" spans="1:10">
      <c r="A34" s="54" t="s">
        <v>316</v>
      </c>
      <c r="B34" s="54" t="s">
        <v>317</v>
      </c>
      <c r="C34" s="95">
        <v>202.15</v>
      </c>
      <c r="D34" s="96">
        <v>221.6</v>
      </c>
      <c r="E34" s="95">
        <v>34.75</v>
      </c>
      <c r="F34" s="95">
        <v>4351.43</v>
      </c>
      <c r="G34" s="77" t="s">
        <v>168</v>
      </c>
      <c r="H34" s="97">
        <v>3331.71</v>
      </c>
      <c r="J34" s="215"/>
    </row>
    <row r="35" spans="1:10">
      <c r="A35" s="54" t="s">
        <v>318</v>
      </c>
      <c r="B35" s="54" t="s">
        <v>319</v>
      </c>
      <c r="C35" s="94">
        <v>1462.26</v>
      </c>
      <c r="D35" s="94">
        <v>13270.05</v>
      </c>
      <c r="E35" s="94">
        <v>2603.79</v>
      </c>
      <c r="F35" s="94">
        <v>6768.99</v>
      </c>
      <c r="G35" s="100">
        <v>1993.5</v>
      </c>
      <c r="H35" s="98">
        <v>5005.34</v>
      </c>
      <c r="J35" s="215"/>
    </row>
    <row r="36" spans="1:10">
      <c r="A36" s="54" t="s">
        <v>320</v>
      </c>
      <c r="B36" s="54" t="s">
        <v>321</v>
      </c>
      <c r="C36" s="95">
        <v>83001.710000000006</v>
      </c>
      <c r="D36" s="95">
        <v>271394.56</v>
      </c>
      <c r="E36" s="96">
        <v>65970.3</v>
      </c>
      <c r="F36" s="95">
        <v>274951.87</v>
      </c>
      <c r="G36" s="97">
        <v>69724.03</v>
      </c>
      <c r="H36" s="97">
        <v>221746.17</v>
      </c>
      <c r="J36" s="215"/>
    </row>
    <row r="37" spans="1:10">
      <c r="A37" s="54" t="s">
        <v>322</v>
      </c>
      <c r="B37" s="54" t="s">
        <v>323</v>
      </c>
      <c r="C37" s="94">
        <v>160.09</v>
      </c>
      <c r="D37" s="94">
        <v>0.45</v>
      </c>
      <c r="E37" s="94">
        <v>55.13</v>
      </c>
      <c r="F37" s="94">
        <v>307.64</v>
      </c>
      <c r="G37" s="94">
        <v>581.63</v>
      </c>
      <c r="H37" s="94">
        <v>831.43</v>
      </c>
      <c r="J37" s="215" t="s">
        <v>19</v>
      </c>
    </row>
    <row r="38" spans="1:10">
      <c r="A38" s="54" t="s">
        <v>324</v>
      </c>
      <c r="B38" s="54" t="s">
        <v>325</v>
      </c>
      <c r="C38" s="95">
        <v>23120.98</v>
      </c>
      <c r="D38" s="95">
        <v>3382.93</v>
      </c>
      <c r="E38" s="95">
        <v>31049.47</v>
      </c>
      <c r="F38" s="95">
        <v>4917.8500000000004</v>
      </c>
      <c r="G38" s="95">
        <v>30553.68</v>
      </c>
      <c r="H38" s="95">
        <v>6119.64</v>
      </c>
      <c r="J38" s="215"/>
    </row>
    <row r="39" spans="1:10">
      <c r="A39" s="54" t="s">
        <v>332</v>
      </c>
      <c r="B39" s="54" t="s">
        <v>333</v>
      </c>
      <c r="C39" s="56" t="s">
        <v>168</v>
      </c>
      <c r="D39" s="56" t="s">
        <v>168</v>
      </c>
      <c r="E39" s="95">
        <v>0.06</v>
      </c>
      <c r="F39" s="95">
        <v>0.11</v>
      </c>
      <c r="G39" s="95">
        <v>13.51</v>
      </c>
      <c r="H39" s="95">
        <v>9.83</v>
      </c>
      <c r="J39" s="215"/>
    </row>
    <row r="40" spans="1:10">
      <c r="A40" s="54" t="s">
        <v>334</v>
      </c>
      <c r="B40" s="54" t="s">
        <v>335</v>
      </c>
      <c r="C40" s="94">
        <v>430.69</v>
      </c>
      <c r="D40" s="94">
        <v>1407.24</v>
      </c>
      <c r="E40" s="93">
        <v>29.5</v>
      </c>
      <c r="F40" s="94">
        <v>1417.92</v>
      </c>
      <c r="G40" s="94">
        <v>56.02</v>
      </c>
      <c r="H40" s="94">
        <v>506.91</v>
      </c>
      <c r="J40" s="215"/>
    </row>
    <row r="41" spans="1:10">
      <c r="A41" s="54" t="s">
        <v>342</v>
      </c>
      <c r="B41" s="54" t="s">
        <v>343</v>
      </c>
      <c r="C41" s="94">
        <v>337158.72</v>
      </c>
      <c r="D41" s="94">
        <v>270517.03999999998</v>
      </c>
      <c r="E41" s="94">
        <v>299519.09000000003</v>
      </c>
      <c r="F41" s="94">
        <v>138970.35999999999</v>
      </c>
      <c r="G41" s="94">
        <v>1395.16</v>
      </c>
      <c r="H41" s="93">
        <v>110648.8</v>
      </c>
    </row>
    <row r="42" spans="1:10">
      <c r="A42" s="54" t="s">
        <v>344</v>
      </c>
      <c r="B42" s="54" t="s">
        <v>345</v>
      </c>
      <c r="C42" s="95">
        <v>14282.22</v>
      </c>
      <c r="D42" s="95">
        <v>654186.97</v>
      </c>
      <c r="E42" s="95">
        <v>881.82</v>
      </c>
      <c r="F42" s="95">
        <v>681236.29</v>
      </c>
      <c r="G42" s="97">
        <v>14389.06</v>
      </c>
      <c r="H42" s="97">
        <v>711914.19</v>
      </c>
      <c r="J42" s="219" t="s">
        <v>440</v>
      </c>
    </row>
    <row r="43" spans="1:10">
      <c r="A43" s="54" t="s">
        <v>346</v>
      </c>
      <c r="B43" s="54" t="s">
        <v>347</v>
      </c>
      <c r="C43" s="94">
        <v>20142.09</v>
      </c>
      <c r="D43" s="94">
        <v>2111.3200000000002</v>
      </c>
      <c r="E43" s="94">
        <v>20812.439999999999</v>
      </c>
      <c r="F43" s="94">
        <v>5455.85</v>
      </c>
      <c r="G43" s="98">
        <v>34734.589999999997</v>
      </c>
      <c r="H43" s="98">
        <v>17328.349999999999</v>
      </c>
      <c r="J43" s="219"/>
    </row>
    <row r="44" spans="1:10">
      <c r="A44" s="54" t="s">
        <v>348</v>
      </c>
      <c r="B44" s="54" t="s">
        <v>349</v>
      </c>
      <c r="C44" s="95">
        <v>64863.21</v>
      </c>
      <c r="D44" s="95">
        <v>121060.78</v>
      </c>
      <c r="E44" s="95">
        <v>124998.99</v>
      </c>
      <c r="F44" s="95">
        <v>525734.98</v>
      </c>
      <c r="G44" s="97">
        <v>70247.78</v>
      </c>
      <c r="H44" s="97">
        <v>607484.94999999995</v>
      </c>
      <c r="J44" s="219"/>
    </row>
    <row r="45" spans="1:10">
      <c r="A45" s="54" t="s">
        <v>350</v>
      </c>
      <c r="B45" s="54" t="s">
        <v>351</v>
      </c>
      <c r="C45" s="94">
        <v>4681.2299999999996</v>
      </c>
      <c r="D45" s="94">
        <v>151516.21</v>
      </c>
      <c r="E45" s="94">
        <v>5083.1099999999997</v>
      </c>
      <c r="F45" s="94">
        <v>109821.65</v>
      </c>
      <c r="G45" s="100">
        <v>19090.7</v>
      </c>
      <c r="H45" s="98">
        <v>117958.22</v>
      </c>
      <c r="J45" s="219"/>
    </row>
    <row r="46" spans="1:10">
      <c r="A46" s="54" t="s">
        <v>352</v>
      </c>
      <c r="B46" s="54" t="s">
        <v>353</v>
      </c>
      <c r="C46" s="95">
        <v>245.15</v>
      </c>
      <c r="D46" s="96">
        <v>10.8</v>
      </c>
      <c r="E46" s="96">
        <v>110.6</v>
      </c>
      <c r="F46" s="95">
        <v>69.27</v>
      </c>
      <c r="G46" s="95">
        <v>289.41000000000003</v>
      </c>
      <c r="H46" s="96">
        <v>9.5</v>
      </c>
    </row>
    <row r="47" spans="1:10">
      <c r="A47" s="54" t="s">
        <v>354</v>
      </c>
      <c r="B47" s="54" t="s">
        <v>355</v>
      </c>
      <c r="C47" s="55" t="s">
        <v>168</v>
      </c>
      <c r="D47" s="94">
        <v>0.05</v>
      </c>
      <c r="E47" s="93">
        <v>0.3</v>
      </c>
      <c r="F47" s="94">
        <v>10.66</v>
      </c>
      <c r="G47" s="94">
        <v>0.52</v>
      </c>
      <c r="H47" s="94">
        <v>14.33</v>
      </c>
    </row>
    <row r="48" spans="1:10">
      <c r="A48" s="54" t="s">
        <v>356</v>
      </c>
      <c r="B48" s="54" t="s">
        <v>357</v>
      </c>
      <c r="C48" s="95">
        <v>0.54</v>
      </c>
      <c r="D48" s="95">
        <v>28.77</v>
      </c>
      <c r="E48" s="95">
        <v>0.38</v>
      </c>
      <c r="F48" s="95">
        <v>3.79</v>
      </c>
      <c r="G48" s="95">
        <v>243.82</v>
      </c>
      <c r="H48" s="95">
        <v>1.49</v>
      </c>
    </row>
    <row r="49" spans="1:10">
      <c r="A49" s="54" t="s">
        <v>358</v>
      </c>
      <c r="B49" s="54" t="s">
        <v>359</v>
      </c>
      <c r="C49" s="93">
        <v>496.8</v>
      </c>
      <c r="D49" s="94">
        <v>37291.870000000003</v>
      </c>
      <c r="E49" s="94">
        <v>1132.48</v>
      </c>
      <c r="F49" s="94">
        <v>38290.54</v>
      </c>
      <c r="G49" s="94">
        <v>139.16999999999999</v>
      </c>
      <c r="H49" s="93">
        <v>10992.3</v>
      </c>
    </row>
    <row r="50" spans="1:10">
      <c r="A50" s="54" t="s">
        <v>360</v>
      </c>
      <c r="B50" s="54" t="s">
        <v>361</v>
      </c>
      <c r="C50" s="95">
        <v>35475.360000000001</v>
      </c>
      <c r="D50" s="96">
        <v>1101600</v>
      </c>
      <c r="E50" s="95">
        <v>149598.22</v>
      </c>
      <c r="F50" s="96">
        <v>750769.6</v>
      </c>
      <c r="G50" s="95">
        <v>1165457.83</v>
      </c>
      <c r="H50" s="95">
        <v>571901.06999999995</v>
      </c>
    </row>
    <row r="51" spans="1:10">
      <c r="A51" s="54" t="s">
        <v>362</v>
      </c>
      <c r="B51" s="54" t="s">
        <v>363</v>
      </c>
      <c r="C51" s="93">
        <v>297.2</v>
      </c>
      <c r="D51" s="94">
        <v>475.71</v>
      </c>
      <c r="E51" s="94">
        <v>9643.6299999999992</v>
      </c>
      <c r="F51" s="94">
        <v>1431.33</v>
      </c>
      <c r="G51" s="94">
        <v>472.34</v>
      </c>
      <c r="H51" s="94">
        <v>2136.33</v>
      </c>
    </row>
    <row r="52" spans="1:10">
      <c r="A52" s="54" t="s">
        <v>364</v>
      </c>
      <c r="B52" s="54" t="s">
        <v>365</v>
      </c>
      <c r="C52" s="95">
        <v>5533.47</v>
      </c>
      <c r="D52" s="95">
        <v>3830.38</v>
      </c>
      <c r="E52" s="95">
        <v>6244.88</v>
      </c>
      <c r="F52" s="95">
        <v>8809.49</v>
      </c>
      <c r="G52" s="95">
        <v>8928.91</v>
      </c>
      <c r="H52" s="96">
        <v>5147.8999999999996</v>
      </c>
    </row>
    <row r="53" spans="1:10">
      <c r="A53" s="54" t="s">
        <v>366</v>
      </c>
      <c r="B53" s="54" t="s">
        <v>367</v>
      </c>
      <c r="C53" s="94">
        <v>116.01</v>
      </c>
      <c r="D53" s="94">
        <v>1.06</v>
      </c>
      <c r="E53" s="94">
        <v>107317.41</v>
      </c>
      <c r="F53" s="94">
        <v>52.29</v>
      </c>
      <c r="G53" s="94">
        <v>145.02000000000001</v>
      </c>
      <c r="H53" s="94">
        <v>27.88</v>
      </c>
    </row>
    <row r="54" spans="1:10">
      <c r="A54" s="54" t="s">
        <v>368</v>
      </c>
      <c r="B54" s="54" t="s">
        <v>369</v>
      </c>
      <c r="C54" s="95">
        <v>22747.46</v>
      </c>
      <c r="D54" s="95">
        <v>1598.61</v>
      </c>
      <c r="E54" s="95">
        <v>268.33</v>
      </c>
      <c r="F54" s="95">
        <v>106.54</v>
      </c>
      <c r="G54" s="95">
        <v>859637.27</v>
      </c>
      <c r="H54" s="95">
        <v>24734.880000000001</v>
      </c>
    </row>
    <row r="55" spans="1:10">
      <c r="A55" s="54" t="s">
        <v>370</v>
      </c>
      <c r="B55" s="54" t="s">
        <v>371</v>
      </c>
      <c r="C55" s="94">
        <v>51707.78</v>
      </c>
      <c r="D55" s="94">
        <v>7773.84</v>
      </c>
      <c r="E55" s="94">
        <v>48912.69</v>
      </c>
      <c r="F55" s="94">
        <v>1273.71</v>
      </c>
      <c r="G55" s="93">
        <v>24140.7</v>
      </c>
      <c r="H55" s="94">
        <v>7718.27</v>
      </c>
    </row>
    <row r="56" spans="1:10">
      <c r="A56" s="54" t="s">
        <v>372</v>
      </c>
      <c r="B56" s="54" t="s">
        <v>373</v>
      </c>
      <c r="C56" s="56" t="s">
        <v>168</v>
      </c>
      <c r="D56" s="56" t="s">
        <v>168</v>
      </c>
      <c r="E56" s="56" t="s">
        <v>168</v>
      </c>
      <c r="F56" s="56" t="s">
        <v>168</v>
      </c>
      <c r="G56" s="56" t="s">
        <v>168</v>
      </c>
      <c r="H56" s="56" t="s">
        <v>168</v>
      </c>
    </row>
    <row r="57" spans="1:10">
      <c r="A57" s="54" t="s">
        <v>374</v>
      </c>
      <c r="B57" s="54" t="s">
        <v>375</v>
      </c>
      <c r="C57" s="94">
        <v>127083.78</v>
      </c>
      <c r="D57" s="94">
        <v>116451.99</v>
      </c>
      <c r="E57" s="94">
        <v>176041.76</v>
      </c>
      <c r="F57" s="94">
        <v>66467.240000000005</v>
      </c>
      <c r="G57" s="94">
        <v>133139.04</v>
      </c>
      <c r="H57" s="94">
        <v>13996.54</v>
      </c>
    </row>
    <row r="58" spans="1:10">
      <c r="A58" s="54" t="s">
        <v>376</v>
      </c>
      <c r="B58" s="54" t="s">
        <v>377</v>
      </c>
      <c r="C58" s="95">
        <v>73250.080000000002</v>
      </c>
      <c r="D58" s="95">
        <v>485834.14</v>
      </c>
      <c r="E58" s="95">
        <v>93201.32</v>
      </c>
      <c r="F58" s="95">
        <v>320628.86</v>
      </c>
      <c r="G58" s="96">
        <v>844252.3</v>
      </c>
      <c r="H58" s="95">
        <v>339227.79</v>
      </c>
    </row>
    <row r="59" spans="1:10">
      <c r="A59" s="54" t="s">
        <v>378</v>
      </c>
      <c r="B59" s="54" t="s">
        <v>379</v>
      </c>
      <c r="C59" s="94">
        <v>4558.2700000000004</v>
      </c>
      <c r="D59" s="93">
        <v>5082.1000000000004</v>
      </c>
      <c r="E59" s="94">
        <v>4171.04</v>
      </c>
      <c r="F59" s="94">
        <v>14430.66</v>
      </c>
      <c r="G59" s="94">
        <v>210448.71</v>
      </c>
      <c r="H59" s="94">
        <v>15224.34</v>
      </c>
    </row>
    <row r="60" spans="1:10">
      <c r="A60" s="54" t="s">
        <v>380</v>
      </c>
      <c r="B60" s="54" t="s">
        <v>381</v>
      </c>
      <c r="C60" s="95">
        <v>18252.11</v>
      </c>
      <c r="D60" s="95">
        <v>2233.0500000000002</v>
      </c>
      <c r="E60" s="95">
        <v>42700.97</v>
      </c>
      <c r="F60" s="95">
        <v>3345.15</v>
      </c>
      <c r="G60" s="95">
        <v>34809.03</v>
      </c>
      <c r="H60" s="95">
        <v>3035.83</v>
      </c>
      <c r="J60" s="219" t="s">
        <v>441</v>
      </c>
    </row>
    <row r="61" spans="1:10">
      <c r="A61" s="54" t="s">
        <v>382</v>
      </c>
      <c r="B61" s="54" t="s">
        <v>383</v>
      </c>
      <c r="C61" s="94">
        <v>210435.55</v>
      </c>
      <c r="D61" s="94">
        <v>142595.82999999999</v>
      </c>
      <c r="E61" s="94">
        <v>309868.02</v>
      </c>
      <c r="F61" s="94">
        <v>171705.48</v>
      </c>
      <c r="G61" s="94">
        <v>359369.06</v>
      </c>
      <c r="H61" s="94">
        <v>178412.47</v>
      </c>
      <c r="J61" s="219"/>
    </row>
    <row r="62" spans="1:10">
      <c r="A62" s="54" t="s">
        <v>384</v>
      </c>
      <c r="B62" s="54" t="s">
        <v>385</v>
      </c>
      <c r="C62" s="95">
        <v>331241.71999999997</v>
      </c>
      <c r="D62" s="95">
        <v>300222.46999999997</v>
      </c>
      <c r="E62" s="96">
        <v>351198.2</v>
      </c>
      <c r="F62" s="95">
        <v>267112.74</v>
      </c>
      <c r="G62" s="95">
        <v>419230.81</v>
      </c>
      <c r="H62" s="95">
        <v>272100.40999999997</v>
      </c>
      <c r="J62" s="219"/>
    </row>
    <row r="63" spans="1:10">
      <c r="A63" s="54" t="s">
        <v>386</v>
      </c>
      <c r="B63" s="54" t="s">
        <v>387</v>
      </c>
      <c r="C63" s="94">
        <v>2975.47</v>
      </c>
      <c r="D63" s="94">
        <v>23290.19</v>
      </c>
      <c r="E63" s="93">
        <v>6760.1</v>
      </c>
      <c r="F63" s="94">
        <v>22521.63</v>
      </c>
      <c r="G63" s="94">
        <v>9506.65</v>
      </c>
      <c r="H63" s="94">
        <v>3314.34</v>
      </c>
    </row>
    <row r="64" spans="1:10">
      <c r="A64" s="54" t="s">
        <v>388</v>
      </c>
      <c r="B64" s="54" t="s">
        <v>389</v>
      </c>
      <c r="C64" s="94">
        <v>24998.52</v>
      </c>
      <c r="D64" s="94">
        <v>10109.81</v>
      </c>
      <c r="E64" s="93">
        <v>4233.8999999999996</v>
      </c>
      <c r="F64" s="94">
        <v>11437.21</v>
      </c>
      <c r="G64" s="94">
        <v>19141.47</v>
      </c>
      <c r="H64" s="93">
        <v>5292.9</v>
      </c>
      <c r="J64" s="49" t="s">
        <v>442</v>
      </c>
    </row>
    <row r="65" spans="1:10">
      <c r="A65" s="54" t="s">
        <v>390</v>
      </c>
      <c r="B65" s="54" t="s">
        <v>391</v>
      </c>
      <c r="C65" s="95">
        <v>66558.42</v>
      </c>
      <c r="D65" s="95">
        <v>29258.78</v>
      </c>
      <c r="E65" s="95">
        <v>89459.12</v>
      </c>
      <c r="F65" s="96">
        <v>37468.800000000003</v>
      </c>
      <c r="G65" s="95">
        <v>129947.86</v>
      </c>
      <c r="H65" s="95">
        <v>53855.46</v>
      </c>
      <c r="J65" s="215" t="s">
        <v>443</v>
      </c>
    </row>
    <row r="66" spans="1:10">
      <c r="A66" s="54" t="s">
        <v>392</v>
      </c>
      <c r="B66" s="54" t="s">
        <v>393</v>
      </c>
      <c r="C66" s="94">
        <v>1445.02</v>
      </c>
      <c r="D66" s="94">
        <v>98137.13</v>
      </c>
      <c r="E66" s="94">
        <v>1923.88</v>
      </c>
      <c r="F66" s="94">
        <v>41637.54</v>
      </c>
      <c r="G66" s="94">
        <v>2453.63</v>
      </c>
      <c r="H66" s="94">
        <v>34458.550000000003</v>
      </c>
      <c r="J66" s="215"/>
    </row>
    <row r="67" spans="1:10">
      <c r="A67" s="54" t="s">
        <v>394</v>
      </c>
      <c r="B67" s="54" t="s">
        <v>395</v>
      </c>
      <c r="C67" s="56" t="s">
        <v>168</v>
      </c>
      <c r="D67" s="56" t="s">
        <v>168</v>
      </c>
      <c r="E67" s="56" t="s">
        <v>168</v>
      </c>
      <c r="F67" s="56" t="s">
        <v>168</v>
      </c>
      <c r="G67" s="56" t="s">
        <v>168</v>
      </c>
      <c r="H67" s="56" t="s">
        <v>168</v>
      </c>
      <c r="J67" s="215"/>
    </row>
    <row r="68" spans="1:10">
      <c r="A68" s="54" t="s">
        <v>396</v>
      </c>
      <c r="B68" s="54" t="s">
        <v>397</v>
      </c>
      <c r="C68" s="55" t="s">
        <v>168</v>
      </c>
      <c r="D68" s="55" t="s">
        <v>168</v>
      </c>
      <c r="E68" s="55" t="s">
        <v>168</v>
      </c>
      <c r="F68" s="55" t="s">
        <v>168</v>
      </c>
      <c r="G68" s="55" t="s">
        <v>168</v>
      </c>
      <c r="H68" s="55" t="s">
        <v>168</v>
      </c>
      <c r="J68" s="215"/>
    </row>
    <row r="69" spans="1:10">
      <c r="A69" s="54" t="s">
        <v>398</v>
      </c>
      <c r="B69" s="54" t="s">
        <v>399</v>
      </c>
      <c r="C69" s="56" t="s">
        <v>168</v>
      </c>
      <c r="D69" s="56" t="s">
        <v>168</v>
      </c>
      <c r="E69" s="56" t="s">
        <v>168</v>
      </c>
      <c r="F69" s="56" t="s">
        <v>168</v>
      </c>
      <c r="G69" s="56" t="s">
        <v>168</v>
      </c>
      <c r="H69" s="56" t="s">
        <v>168</v>
      </c>
      <c r="J69" s="215"/>
    </row>
    <row r="70" spans="1:10">
      <c r="A70" s="54" t="s">
        <v>400</v>
      </c>
      <c r="B70" s="54" t="s">
        <v>401</v>
      </c>
      <c r="C70" s="94">
        <v>67501.45</v>
      </c>
      <c r="D70" s="94">
        <v>43427.85</v>
      </c>
      <c r="E70" s="94">
        <v>65678.45</v>
      </c>
      <c r="F70" s="94">
        <v>63142.76</v>
      </c>
      <c r="G70" s="94">
        <v>79748.289999999994</v>
      </c>
      <c r="H70" s="94">
        <v>43468.66</v>
      </c>
      <c r="J70" s="215"/>
    </row>
    <row r="71" spans="1:10">
      <c r="A71" s="54" t="s">
        <v>402</v>
      </c>
      <c r="B71" s="54" t="s">
        <v>403</v>
      </c>
      <c r="C71" s="95">
        <v>746.47</v>
      </c>
      <c r="D71" s="95">
        <v>698.76</v>
      </c>
      <c r="E71" s="96">
        <v>222.7</v>
      </c>
      <c r="F71" s="95">
        <v>499.28</v>
      </c>
      <c r="G71" s="95">
        <v>821.95</v>
      </c>
      <c r="H71" s="95">
        <v>127.12</v>
      </c>
      <c r="J71" s="49" t="s">
        <v>445</v>
      </c>
    </row>
    <row r="72" spans="1:10">
      <c r="A72" s="54" t="s">
        <v>404</v>
      </c>
      <c r="B72" s="54" t="s">
        <v>405</v>
      </c>
      <c r="C72" s="95">
        <v>44.13</v>
      </c>
      <c r="D72" s="95">
        <v>850.82</v>
      </c>
      <c r="E72" s="95">
        <v>2924.86</v>
      </c>
      <c r="F72" s="95">
        <v>1587.62</v>
      </c>
      <c r="G72" s="95">
        <v>1190.96</v>
      </c>
      <c r="H72" s="95">
        <v>594.99</v>
      </c>
      <c r="J72" s="218" t="s">
        <v>444</v>
      </c>
    </row>
    <row r="73" spans="1:10">
      <c r="A73" s="54" t="s">
        <v>406</v>
      </c>
      <c r="B73" s="54" t="s">
        <v>407</v>
      </c>
      <c r="C73" s="94">
        <v>1444.45</v>
      </c>
      <c r="D73" s="94">
        <v>643.89</v>
      </c>
      <c r="E73" s="94">
        <v>1522.27</v>
      </c>
      <c r="F73" s="94">
        <v>815.63</v>
      </c>
      <c r="G73" s="94">
        <v>2439.9499999999998</v>
      </c>
      <c r="H73" s="94">
        <v>1319.43</v>
      </c>
      <c r="J73" s="218"/>
    </row>
    <row r="74" spans="1:10">
      <c r="A74" s="54" t="s">
        <v>424</v>
      </c>
      <c r="B74" s="54" t="s">
        <v>425</v>
      </c>
      <c r="C74" s="56" t="s">
        <v>168</v>
      </c>
      <c r="D74" s="56" t="s">
        <v>168</v>
      </c>
      <c r="E74" s="56" t="s">
        <v>168</v>
      </c>
      <c r="F74" s="56" t="s">
        <v>168</v>
      </c>
      <c r="G74" s="56" t="s">
        <v>168</v>
      </c>
      <c r="H74" s="56" t="s">
        <v>168</v>
      </c>
    </row>
    <row r="75" spans="1:10">
      <c r="A75" s="54" t="s">
        <v>426</v>
      </c>
      <c r="B75" s="54" t="s">
        <v>427</v>
      </c>
      <c r="C75" s="94">
        <v>22920.52</v>
      </c>
      <c r="D75" s="94">
        <v>25793.38</v>
      </c>
      <c r="E75" s="94">
        <v>24340.26</v>
      </c>
      <c r="F75" s="94">
        <v>22469.06</v>
      </c>
      <c r="G75" s="94">
        <v>21770.02</v>
      </c>
      <c r="H75" s="94">
        <v>11049.88</v>
      </c>
    </row>
    <row r="76" spans="1:10">
      <c r="A76" s="54" t="s">
        <v>428</v>
      </c>
      <c r="B76" s="54" t="s">
        <v>429</v>
      </c>
      <c r="C76" s="95">
        <v>20798.03</v>
      </c>
      <c r="D76" s="95">
        <v>1595.24</v>
      </c>
      <c r="E76" s="95">
        <v>22200.54</v>
      </c>
      <c r="F76" s="95">
        <v>1574.82</v>
      </c>
      <c r="G76" s="95">
        <v>2309.92</v>
      </c>
      <c r="H76" s="95">
        <v>1669.37</v>
      </c>
    </row>
    <row r="77" spans="1:10">
      <c r="A77" s="54" t="s">
        <v>430</v>
      </c>
      <c r="B77" s="54" t="s">
        <v>431</v>
      </c>
      <c r="C77" s="55" t="s">
        <v>168</v>
      </c>
      <c r="D77" s="55" t="s">
        <v>168</v>
      </c>
      <c r="E77" s="55" t="s">
        <v>168</v>
      </c>
      <c r="F77" s="55" t="s">
        <v>168</v>
      </c>
      <c r="G77" s="55" t="s">
        <v>168</v>
      </c>
      <c r="H77" s="55" t="s">
        <v>168</v>
      </c>
    </row>
    <row r="78" spans="1:10">
      <c r="A78" s="54" t="s">
        <v>432</v>
      </c>
      <c r="B78" s="54" t="s">
        <v>433</v>
      </c>
      <c r="C78" s="96">
        <v>5353.5</v>
      </c>
      <c r="D78" s="95">
        <v>33100.17</v>
      </c>
      <c r="E78" s="95">
        <v>4525.93</v>
      </c>
      <c r="F78" s="95">
        <v>34574.089999999997</v>
      </c>
      <c r="G78" s="95">
        <v>5105.75</v>
      </c>
      <c r="H78" s="95">
        <v>34275.620000000003</v>
      </c>
    </row>
    <row r="79" spans="1:10">
      <c r="A79" s="54" t="s">
        <v>434</v>
      </c>
      <c r="B79" s="54" t="s">
        <v>435</v>
      </c>
      <c r="C79" s="55" t="s">
        <v>168</v>
      </c>
      <c r="D79" s="55" t="s">
        <v>168</v>
      </c>
      <c r="E79" s="55" t="s">
        <v>168</v>
      </c>
      <c r="F79" s="55" t="s">
        <v>168</v>
      </c>
      <c r="G79" s="55" t="s">
        <v>168</v>
      </c>
      <c r="H79" s="55" t="s">
        <v>168</v>
      </c>
    </row>
    <row r="80" spans="1:10">
      <c r="A80" s="54" t="s">
        <v>436</v>
      </c>
      <c r="B80" s="54" t="s">
        <v>437</v>
      </c>
      <c r="C80" s="95">
        <v>788128.65</v>
      </c>
      <c r="D80" s="95">
        <v>2669043.0299999998</v>
      </c>
      <c r="E80" s="95">
        <v>1198354.71</v>
      </c>
      <c r="F80" s="95">
        <v>2720058.25</v>
      </c>
      <c r="G80" s="95">
        <v>1723179.33</v>
      </c>
      <c r="H80" s="95">
        <v>2695107.46</v>
      </c>
    </row>
    <row r="82" spans="1:8">
      <c r="A82" s="50" t="s">
        <v>258</v>
      </c>
    </row>
    <row r="83" spans="1:8">
      <c r="A83" s="50" t="s">
        <v>168</v>
      </c>
      <c r="B83" s="48" t="s">
        <v>259</v>
      </c>
    </row>
    <row r="85" spans="1:8">
      <c r="A85" s="54" t="s">
        <v>326</v>
      </c>
      <c r="B85" s="54" t="s">
        <v>327</v>
      </c>
      <c r="C85" s="94">
        <v>3.29</v>
      </c>
      <c r="D85" s="94">
        <v>8.86</v>
      </c>
      <c r="E85" s="94">
        <v>61.58</v>
      </c>
      <c r="F85" s="94">
        <v>1026.24</v>
      </c>
      <c r="G85" s="94">
        <v>524.83000000000004</v>
      </c>
      <c r="H85" s="55" t="s">
        <v>168</v>
      </c>
    </row>
    <row r="86" spans="1:8">
      <c r="A86" s="54" t="s">
        <v>328</v>
      </c>
      <c r="B86" s="54" t="s">
        <v>329</v>
      </c>
      <c r="C86" s="56" t="s">
        <v>168</v>
      </c>
      <c r="D86" s="56" t="s">
        <v>168</v>
      </c>
      <c r="E86" s="95">
        <v>0.09</v>
      </c>
      <c r="F86" s="96">
        <v>1</v>
      </c>
      <c r="G86" s="95">
        <v>773.63</v>
      </c>
      <c r="H86" s="95">
        <v>0.18</v>
      </c>
    </row>
    <row r="87" spans="1:8">
      <c r="A87" s="54" t="s">
        <v>330</v>
      </c>
      <c r="B87" s="54" t="s">
        <v>331</v>
      </c>
      <c r="C87" s="93">
        <v>6.1</v>
      </c>
      <c r="D87" s="94">
        <v>15.04</v>
      </c>
      <c r="E87" s="94">
        <v>282.77</v>
      </c>
      <c r="F87" s="94">
        <v>1.31</v>
      </c>
      <c r="G87" s="94">
        <v>488.65</v>
      </c>
      <c r="H87" s="94">
        <v>7.39</v>
      </c>
    </row>
    <row r="89" spans="1:8">
      <c r="A89" s="54" t="s">
        <v>336</v>
      </c>
      <c r="B89" s="54" t="s">
        <v>337</v>
      </c>
      <c r="C89" s="56" t="s">
        <v>168</v>
      </c>
      <c r="D89" s="56" t="s">
        <v>168</v>
      </c>
      <c r="E89" s="56" t="s">
        <v>168</v>
      </c>
      <c r="F89" s="56" t="s">
        <v>168</v>
      </c>
      <c r="G89" s="56" t="s">
        <v>168</v>
      </c>
      <c r="H89" s="56" t="s">
        <v>168</v>
      </c>
    </row>
    <row r="90" spans="1:8">
      <c r="A90" s="54" t="s">
        <v>338</v>
      </c>
      <c r="B90" s="54" t="s">
        <v>339</v>
      </c>
      <c r="C90" s="55" t="s">
        <v>168</v>
      </c>
      <c r="D90" s="55" t="s">
        <v>168</v>
      </c>
      <c r="E90" s="55" t="s">
        <v>168</v>
      </c>
      <c r="F90" s="55" t="s">
        <v>168</v>
      </c>
      <c r="G90" s="55" t="s">
        <v>168</v>
      </c>
      <c r="H90" s="55" t="s">
        <v>168</v>
      </c>
    </row>
    <row r="91" spans="1:8">
      <c r="A91" s="54" t="s">
        <v>340</v>
      </c>
      <c r="B91" s="54" t="s">
        <v>341</v>
      </c>
      <c r="C91" s="95">
        <v>124.18</v>
      </c>
      <c r="D91" s="95">
        <v>240.49</v>
      </c>
      <c r="E91" s="95">
        <v>260.07</v>
      </c>
      <c r="F91" s="95">
        <v>313.25</v>
      </c>
      <c r="G91" s="95">
        <v>158.51</v>
      </c>
      <c r="H91" s="95">
        <v>13.39</v>
      </c>
    </row>
    <row r="93" spans="1:8">
      <c r="A93" s="54" t="s">
        <v>408</v>
      </c>
      <c r="B93" s="54" t="s">
        <v>409</v>
      </c>
      <c r="C93" s="56" t="s">
        <v>168</v>
      </c>
      <c r="D93" s="56" t="s">
        <v>168</v>
      </c>
      <c r="E93" s="56" t="s">
        <v>168</v>
      </c>
      <c r="F93" s="56" t="s">
        <v>168</v>
      </c>
      <c r="G93" s="56" t="s">
        <v>168</v>
      </c>
      <c r="H93" s="56" t="s">
        <v>168</v>
      </c>
    </row>
    <row r="94" spans="1:8">
      <c r="A94" s="54" t="s">
        <v>410</v>
      </c>
      <c r="B94" s="54" t="s">
        <v>411</v>
      </c>
      <c r="C94" s="55" t="s">
        <v>168</v>
      </c>
      <c r="D94" s="55" t="s">
        <v>168</v>
      </c>
      <c r="E94" s="55" t="s">
        <v>168</v>
      </c>
      <c r="F94" s="55" t="s">
        <v>168</v>
      </c>
      <c r="G94" s="55" t="s">
        <v>168</v>
      </c>
      <c r="H94" s="55" t="s">
        <v>168</v>
      </c>
    </row>
    <row r="95" spans="1:8">
      <c r="A95" s="54" t="s">
        <v>412</v>
      </c>
      <c r="B95" s="54" t="s">
        <v>413</v>
      </c>
      <c r="C95" s="56" t="s">
        <v>168</v>
      </c>
      <c r="D95" s="56" t="s">
        <v>168</v>
      </c>
      <c r="E95" s="56" t="s">
        <v>168</v>
      </c>
      <c r="F95" s="56" t="s">
        <v>168</v>
      </c>
      <c r="G95" s="56" t="s">
        <v>168</v>
      </c>
      <c r="H95" s="56" t="s">
        <v>168</v>
      </c>
    </row>
    <row r="96" spans="1:8">
      <c r="A96" s="54" t="s">
        <v>414</v>
      </c>
      <c r="B96" s="54" t="s">
        <v>415</v>
      </c>
      <c r="C96" s="55" t="s">
        <v>168</v>
      </c>
      <c r="D96" s="55" t="s">
        <v>168</v>
      </c>
      <c r="E96" s="55" t="s">
        <v>168</v>
      </c>
      <c r="F96" s="55" t="s">
        <v>168</v>
      </c>
      <c r="G96" s="55" t="s">
        <v>168</v>
      </c>
      <c r="H96" s="55" t="s">
        <v>168</v>
      </c>
    </row>
    <row r="97" spans="1:8">
      <c r="A97" s="54" t="s">
        <v>416</v>
      </c>
      <c r="B97" s="54" t="s">
        <v>417</v>
      </c>
      <c r="C97" s="56" t="s">
        <v>168</v>
      </c>
      <c r="D97" s="56" t="s">
        <v>168</v>
      </c>
      <c r="E97" s="56" t="s">
        <v>168</v>
      </c>
      <c r="F97" s="56" t="s">
        <v>168</v>
      </c>
      <c r="G97" s="56" t="s">
        <v>168</v>
      </c>
      <c r="H97" s="56" t="s">
        <v>168</v>
      </c>
    </row>
    <row r="98" spans="1:8">
      <c r="A98" s="54" t="s">
        <v>418</v>
      </c>
      <c r="B98" s="54" t="s">
        <v>419</v>
      </c>
      <c r="C98" s="55" t="s">
        <v>168</v>
      </c>
      <c r="D98" s="55" t="s">
        <v>168</v>
      </c>
      <c r="E98" s="55" t="s">
        <v>168</v>
      </c>
      <c r="F98" s="55" t="s">
        <v>168</v>
      </c>
      <c r="G98" s="55" t="s">
        <v>168</v>
      </c>
      <c r="H98" s="55" t="s">
        <v>168</v>
      </c>
    </row>
    <row r="99" spans="1:8">
      <c r="A99" s="54" t="s">
        <v>420</v>
      </c>
      <c r="B99" s="54" t="s">
        <v>421</v>
      </c>
      <c r="C99" s="95">
        <v>611.24</v>
      </c>
      <c r="D99" s="95">
        <v>2727.34</v>
      </c>
      <c r="E99" s="95">
        <v>1584.07</v>
      </c>
      <c r="F99" s="95">
        <v>1536.33</v>
      </c>
      <c r="G99" s="95">
        <v>4133.76</v>
      </c>
      <c r="H99" s="95">
        <v>4011.64</v>
      </c>
    </row>
    <row r="100" spans="1:8">
      <c r="A100" s="54" t="s">
        <v>422</v>
      </c>
      <c r="B100" s="54" t="s">
        <v>423</v>
      </c>
      <c r="C100" s="94">
        <v>0.71</v>
      </c>
      <c r="D100" s="94">
        <v>62.91</v>
      </c>
      <c r="E100" s="94">
        <v>182.78</v>
      </c>
      <c r="F100" s="94">
        <v>529.98</v>
      </c>
      <c r="G100" s="94">
        <v>0.34</v>
      </c>
      <c r="H100" s="94">
        <v>617.55999999999995</v>
      </c>
    </row>
  </sheetData>
  <mergeCells count="13">
    <mergeCell ref="J72:J73"/>
    <mergeCell ref="J21:J27"/>
    <mergeCell ref="J28:J36"/>
    <mergeCell ref="J37:J40"/>
    <mergeCell ref="J42:J45"/>
    <mergeCell ref="J60:J62"/>
    <mergeCell ref="J65:J70"/>
    <mergeCell ref="J15:J19"/>
    <mergeCell ref="A10:B10"/>
    <mergeCell ref="C10:D10"/>
    <mergeCell ref="E10:F10"/>
    <mergeCell ref="G10:H10"/>
    <mergeCell ref="A11:B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E5" sqref="E5"/>
    </sheetView>
  </sheetViews>
  <sheetFormatPr baseColWidth="10" defaultRowHeight="14.4"/>
  <cols>
    <col min="2" max="2" width="19" customWidth="1"/>
  </cols>
  <sheetData>
    <row r="2" spans="2:5">
      <c r="B2" s="101" t="s">
        <v>446</v>
      </c>
    </row>
    <row r="3" spans="2:5">
      <c r="B3" t="s">
        <v>448</v>
      </c>
    </row>
    <row r="4" spans="2:5">
      <c r="B4" t="s">
        <v>449</v>
      </c>
      <c r="C4">
        <v>2015</v>
      </c>
      <c r="D4">
        <v>2019</v>
      </c>
      <c r="E4">
        <v>2023</v>
      </c>
    </row>
    <row r="5" spans="2:5">
      <c r="B5" t="s">
        <v>59</v>
      </c>
      <c r="C5" s="113">
        <f>('Anatomie - Blézat'!F13+'Anatomie - Blézat'!F26)/('Anatomie - Blézat'!F13+'Anatomie - Blézat'!F26+'Anatomie - Blézat'!F51+'Anatomie - Blézat'!F63)</f>
        <v>0.94963128026680088</v>
      </c>
      <c r="D5" s="113">
        <f>('Anatomie - Blézat'!G13+'Anatomie - Blézat'!G26)/('Anatomie - Blézat'!G13+'Anatomie - Blézat'!G26+'Anatomie - Blézat'!G51+'Anatomie - Blézat'!G63)</f>
        <v>0.94852219490672129</v>
      </c>
      <c r="E5" s="113">
        <f>('Anatomie - Blézat'!H13+'Anatomie - Blézat'!H26)/('Anatomie - Blézat'!H13+'Anatomie - Blézat'!H26+'Anatomie - Blézat'!H51+'Anatomie - Blézat'!H63)</f>
        <v>0.94881171412522758</v>
      </c>
    </row>
    <row r="6" spans="2:5">
      <c r="B6" t="s">
        <v>447</v>
      </c>
      <c r="C6" s="29">
        <f t="shared" ref="C6:D6" si="0">1-C5</f>
        <v>5.0368719733199119E-2</v>
      </c>
      <c r="D6" s="29">
        <f t="shared" si="0"/>
        <v>5.1477805093278706E-2</v>
      </c>
      <c r="E6" s="29">
        <f>1-E5</f>
        <v>5.1188285874772421E-2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U29"/>
  <sheetViews>
    <sheetView workbookViewId="0">
      <pane xSplit="3" ySplit="1" topLeftCell="D2" activePane="bottomRight" state="frozen"/>
      <selection activeCell="AD10" sqref="AD10"/>
      <selection pane="topRight" activeCell="AD10" sqref="AD10"/>
      <selection pane="bottomLeft" activeCell="AD10" sqref="AD10"/>
      <selection pane="bottomRight" activeCell="R29" sqref="R29:S2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4" width="8.6640625" style="10" customWidth="1"/>
    <col min="15" max="15" width="11.5546875" style="10" customWidth="1"/>
    <col min="16" max="16" width="15.33203125" style="10" customWidth="1"/>
    <col min="17" max="17" width="15.88671875" style="10" customWidth="1"/>
    <col min="18" max="19" width="14.44140625" style="28" customWidth="1"/>
    <col min="20" max="20" width="14.33203125" style="10" customWidth="1"/>
    <col min="21" max="21" width="13.109375" customWidth="1"/>
  </cols>
  <sheetData>
    <row r="1" spans="1:21" ht="51" thickBot="1">
      <c r="A1" s="23" t="s">
        <v>39</v>
      </c>
      <c r="B1" s="24" t="s">
        <v>30</v>
      </c>
      <c r="C1" s="24" t="s">
        <v>31</v>
      </c>
      <c r="D1" s="24" t="s">
        <v>40</v>
      </c>
      <c r="E1" s="24" t="s">
        <v>41</v>
      </c>
      <c r="F1" s="24" t="s">
        <v>42</v>
      </c>
      <c r="G1" s="25" t="str">
        <f>Etiquettes!$A$7</f>
        <v>Unité</v>
      </c>
      <c r="H1" s="25" t="str">
        <f>Etiquettes!$A$4</f>
        <v>Filière</v>
      </c>
      <c r="I1" s="25" t="str">
        <f>Etiquettes!$A$6</f>
        <v>Année</v>
      </c>
      <c r="J1" s="25" t="str">
        <f>Etiquettes!$A$5</f>
        <v>Territoire</v>
      </c>
      <c r="K1" s="25" t="str">
        <f>Etiquettes!$A$12</f>
        <v>Traduction</v>
      </c>
      <c r="L1" s="25" t="str">
        <f>Etiquettes!$A$10</f>
        <v>Hypothèse</v>
      </c>
      <c r="M1" s="25" t="str">
        <f>Etiquettes!$A$9</f>
        <v>Source</v>
      </c>
      <c r="N1" s="25" t="str">
        <f>Etiquettes!$A$13</f>
        <v>Onglet source fichier Excel</v>
      </c>
      <c r="O1" s="25" t="str">
        <f>Etiquettes!$A$11</f>
        <v>Type de donnée collectée</v>
      </c>
      <c r="P1" s="25" t="str">
        <f>Etiquettes!$A$8</f>
        <v>Information collectée</v>
      </c>
      <c r="Q1" s="25" t="str">
        <f>Etiquettes!$A$15</f>
        <v>Fiabilité des données</v>
      </c>
      <c r="R1" s="25" t="str">
        <f>Etiquettes!$A$16</f>
        <v>Méthode</v>
      </c>
      <c r="S1" s="25" t="str">
        <f>Etiquettes!$A$17</f>
        <v>Analyse des résultats</v>
      </c>
      <c r="T1" s="24" t="s">
        <v>3</v>
      </c>
      <c r="U1" s="26" t="s">
        <v>5</v>
      </c>
    </row>
    <row r="2" spans="1:21">
      <c r="A2" s="10">
        <v>1</v>
      </c>
      <c r="B2" t="str">
        <f>Produits!$B$3</f>
        <v>Veaux</v>
      </c>
      <c r="C2" t="str">
        <f>Secteurs!$B$5</f>
        <v>Abattage / découpe de veaux</v>
      </c>
      <c r="D2" s="29">
        <f>'Anatomie - Blézat'!D21</f>
        <v>0.40606060606060607</v>
      </c>
      <c r="G2" s="27" t="str">
        <f>Etiquettes!$C$7</f>
        <v>kt</v>
      </c>
      <c r="H2" s="111" t="str">
        <f>Etiquettes!$C$4</f>
        <v>Viande bovine</v>
      </c>
      <c r="I2" s="27" t="str">
        <f>Etiquettes!$C$6</f>
        <v>2015:2019:2023</v>
      </c>
      <c r="J2" s="27" t="str">
        <f>Etiquettes!$C$5</f>
        <v>France entière</v>
      </c>
      <c r="M2"/>
      <c r="R2" s="27"/>
      <c r="S2" s="27"/>
      <c r="U2" s="220" t="s">
        <v>226</v>
      </c>
    </row>
    <row r="3" spans="1:21">
      <c r="A3" s="10">
        <v>1</v>
      </c>
      <c r="B3" t="str">
        <f>Secteurs!$B$5</f>
        <v>Abattage / découpe de veaux</v>
      </c>
      <c r="C3" t="str">
        <f>Produits!$B$19</f>
        <v>Viande de veaux</v>
      </c>
      <c r="D3">
        <v>-1</v>
      </c>
      <c r="G3" s="27" t="str">
        <f>Etiquettes!$C$7</f>
        <v>kt</v>
      </c>
      <c r="H3" s="111" t="str">
        <f>Etiquettes!$C$4</f>
        <v>Viande bovine</v>
      </c>
      <c r="I3" s="27" t="str">
        <f>Etiquettes!$C$6</f>
        <v>2015:2019:2023</v>
      </c>
      <c r="J3" s="27" t="str">
        <f>Etiquettes!$C$5</f>
        <v>France entière</v>
      </c>
      <c r="K3" s="38" t="s">
        <v>521</v>
      </c>
      <c r="M3" t="s">
        <v>455</v>
      </c>
      <c r="N3" s="38" t="str" cm="1">
        <f t="array" aca="1" ref="N3" ca="1">[1]!NOM_FEUILLE('Anatomie - Blézat'!$A$1)</f>
        <v>Anatomie - Blézat</v>
      </c>
      <c r="O3" s="38" t="str">
        <f>Etiquettes!$I$11</f>
        <v>Rendement</v>
      </c>
      <c r="P3" t="str">
        <f>_xlfn.CONCAT(K3," = ",MROUND(D2*100,0.01)," % (",M3,")")</f>
        <v>Rendement en viande de l'abattage-découpe de veaux = 40,61 % (Blézat)</v>
      </c>
      <c r="Q3" s="10" t="str">
        <f>Etiquettes!$J$15</f>
        <v>Probable</v>
      </c>
      <c r="R3" s="112" t="s">
        <v>664</v>
      </c>
      <c r="S3" s="111" t="str">
        <f>Etiquettes!$H$17</f>
        <v>Donnée collectée (valeur du flux ou coefficient)</v>
      </c>
      <c r="U3" s="205"/>
    </row>
    <row r="4" spans="1:21">
      <c r="A4" s="10">
        <f>A2+1</f>
        <v>2</v>
      </c>
      <c r="B4" t="str">
        <f>Produits!$B$3</f>
        <v>Veaux</v>
      </c>
      <c r="C4" t="str">
        <f>Secteurs!$B$5</f>
        <v>Abattage / découpe de veaux</v>
      </c>
      <c r="D4" s="29">
        <f>'Anatomie - Blézat'!D22</f>
        <v>9.5108225108225114E-2</v>
      </c>
      <c r="G4" s="27" t="str">
        <f>Etiquettes!$C$7</f>
        <v>kt</v>
      </c>
      <c r="H4" s="111" t="str">
        <f>Etiquettes!$C$4</f>
        <v>Viande bovine</v>
      </c>
      <c r="I4" s="27" t="str">
        <f>Etiquettes!$C$6</f>
        <v>2015:2019:2023</v>
      </c>
      <c r="J4" s="27" t="str">
        <f>Etiquettes!$C$5</f>
        <v>France entière</v>
      </c>
      <c r="M4"/>
      <c r="R4" s="27"/>
      <c r="S4" s="27"/>
      <c r="U4" s="205"/>
    </row>
    <row r="5" spans="1:21">
      <c r="A5" s="10">
        <f t="shared" ref="A5:A29" si="0">A3+1</f>
        <v>2</v>
      </c>
      <c r="B5" t="str">
        <f>Secteurs!$B$5</f>
        <v>Abattage / découpe de veaux</v>
      </c>
      <c r="C5" t="str">
        <f>Produits!$B$12</f>
        <v>Abats</v>
      </c>
      <c r="D5">
        <v>-1</v>
      </c>
      <c r="G5" s="27" t="str">
        <f>Etiquettes!$C$7</f>
        <v>kt</v>
      </c>
      <c r="H5" s="111" t="str">
        <f>Etiquettes!$C$4</f>
        <v>Viande bovine</v>
      </c>
      <c r="I5" s="27" t="str">
        <f>Etiquettes!$C$6</f>
        <v>2015:2019:2023</v>
      </c>
      <c r="J5" s="27" t="str">
        <f>Etiquettes!$C$5</f>
        <v>France entière</v>
      </c>
      <c r="K5" s="38" t="s">
        <v>520</v>
      </c>
      <c r="M5" t="s">
        <v>455</v>
      </c>
      <c r="N5" s="38" t="str" cm="1">
        <f t="array" aca="1" ref="N5" ca="1">[1]!NOM_FEUILLE('Anatomie - Blézat'!$A$1)</f>
        <v>Anatomie - Blézat</v>
      </c>
      <c r="O5" s="38" t="str">
        <f>Etiquettes!$I$11</f>
        <v>Rendement</v>
      </c>
      <c r="P5" t="str">
        <f t="shared" ref="P5" si="1">_xlfn.CONCAT(K5," = ",MROUND(D4*100,0.01)," % (",M5,")")</f>
        <v>Rendement en abats de l'abattage-découpe de veaux = 9,51 % (Blézat)</v>
      </c>
      <c r="Q5" s="10" t="str">
        <f>Etiquettes!$J$15</f>
        <v>Probable</v>
      </c>
      <c r="R5" s="112" t="s">
        <v>664</v>
      </c>
      <c r="S5" s="111" t="str">
        <f>Etiquettes!$H$17</f>
        <v>Donnée collectée (valeur du flux ou coefficient)</v>
      </c>
      <c r="U5" s="205"/>
    </row>
    <row r="6" spans="1:21">
      <c r="A6" s="10">
        <f t="shared" si="0"/>
        <v>3</v>
      </c>
      <c r="B6" t="str">
        <f>Produits!$B$3</f>
        <v>Veaux</v>
      </c>
      <c r="C6" t="str">
        <f>Secteurs!$B$5</f>
        <v>Abattage / découpe de veaux</v>
      </c>
      <c r="D6" s="29">
        <f>'Anatomie - Blézat'!D24</f>
        <v>5.627705627705628E-2</v>
      </c>
      <c r="F6" s="29"/>
      <c r="G6" s="27" t="str">
        <f>Etiquettes!$C$7</f>
        <v>kt</v>
      </c>
      <c r="H6" s="111" t="str">
        <f>Etiquettes!$C$4</f>
        <v>Viande bovine</v>
      </c>
      <c r="I6" s="27" t="str">
        <f>Etiquettes!$C$6</f>
        <v>2015:2019:2023</v>
      </c>
      <c r="J6" s="27" t="str">
        <f>Etiquettes!$C$5</f>
        <v>France entière</v>
      </c>
      <c r="M6"/>
      <c r="R6" s="27"/>
      <c r="S6" s="27"/>
      <c r="U6" s="205"/>
    </row>
    <row r="7" spans="1:21">
      <c r="A7" s="10">
        <f t="shared" si="0"/>
        <v>3</v>
      </c>
      <c r="B7" t="str">
        <f>Secteurs!$B$5</f>
        <v>Abattage / découpe de veaux</v>
      </c>
      <c r="C7" t="str">
        <f>Produits!$B$15</f>
        <v>C1</v>
      </c>
      <c r="D7">
        <v>-1</v>
      </c>
      <c r="G7" s="27" t="str">
        <f>Etiquettes!$C$7</f>
        <v>kt</v>
      </c>
      <c r="H7" s="111" t="str">
        <f>Etiquettes!$C$4</f>
        <v>Viande bovine</v>
      </c>
      <c r="I7" s="27" t="str">
        <f>Etiquettes!$C$6</f>
        <v>2015:2019:2023</v>
      </c>
      <c r="J7" s="27" t="str">
        <f>Etiquettes!$C$5</f>
        <v>France entière</v>
      </c>
      <c r="K7" s="38" t="s">
        <v>522</v>
      </c>
      <c r="M7" t="s">
        <v>455</v>
      </c>
      <c r="N7" s="38" t="str" cm="1">
        <f t="array" aca="1" ref="N7" ca="1">[1]!NOM_FEUILLE('Anatomie - Blézat'!$A$1)</f>
        <v>Anatomie - Blézat</v>
      </c>
      <c r="O7" s="38" t="str">
        <f>Etiquettes!$I$11</f>
        <v>Rendement</v>
      </c>
      <c r="P7" t="str">
        <f t="shared" ref="P7" si="2">_xlfn.CONCAT(K7," = ",MROUND(D6*100,0.01)," % (",M7,")")</f>
        <v>Rendement en coproduits C1 de l'abattage-découpe de veaux = 5,63 % (Blézat)</v>
      </c>
      <c r="Q7" s="10" t="str">
        <f>Etiquettes!$J$15</f>
        <v>Probable</v>
      </c>
      <c r="R7" s="112" t="s">
        <v>664</v>
      </c>
      <c r="S7" s="111" t="str">
        <f>Etiquettes!$H$17</f>
        <v>Donnée collectée (valeur du flux ou coefficient)</v>
      </c>
      <c r="U7" s="205"/>
    </row>
    <row r="8" spans="1:21">
      <c r="A8" s="10">
        <f t="shared" si="0"/>
        <v>4</v>
      </c>
      <c r="B8" t="str">
        <f>Produits!$B$3</f>
        <v>Veaux</v>
      </c>
      <c r="C8" t="str">
        <f>Secteurs!$B$5</f>
        <v>Abattage / découpe de veaux</v>
      </c>
      <c r="D8" s="29">
        <f>'Anatomie - Blézat'!D25</f>
        <v>0</v>
      </c>
      <c r="G8" s="27" t="str">
        <f>Etiquettes!$C$7</f>
        <v>kt</v>
      </c>
      <c r="H8" s="111" t="str">
        <f>Etiquettes!$C$4</f>
        <v>Viande bovine</v>
      </c>
      <c r="I8" s="27" t="str">
        <f>Etiquettes!$C$6</f>
        <v>2015:2019:2023</v>
      </c>
      <c r="J8" s="27" t="str">
        <f>Etiquettes!$C$5</f>
        <v>France entière</v>
      </c>
      <c r="M8"/>
      <c r="U8" s="205"/>
    </row>
    <row r="9" spans="1:21">
      <c r="A9" s="10">
        <f t="shared" si="0"/>
        <v>4</v>
      </c>
      <c r="B9" t="str">
        <f>Secteurs!$B$5</f>
        <v>Abattage / découpe de veaux</v>
      </c>
      <c r="C9" t="str">
        <f>Produits!$B$16</f>
        <v>C2</v>
      </c>
      <c r="D9">
        <v>-1</v>
      </c>
      <c r="G9" s="27" t="str">
        <f>Etiquettes!$C$7</f>
        <v>kt</v>
      </c>
      <c r="H9" s="111" t="str">
        <f>Etiquettes!$C$4</f>
        <v>Viande bovine</v>
      </c>
      <c r="I9" s="27" t="str">
        <f>Etiquettes!$C$6</f>
        <v>2015:2019:2023</v>
      </c>
      <c r="J9" s="27" t="str">
        <f>Etiquettes!$C$5</f>
        <v>France entière</v>
      </c>
      <c r="K9" s="38" t="s">
        <v>523</v>
      </c>
      <c r="M9" t="s">
        <v>455</v>
      </c>
      <c r="N9" s="38" t="str" cm="1">
        <f t="array" aca="1" ref="N9" ca="1">[1]!NOM_FEUILLE('Anatomie - Blézat'!$A$1)</f>
        <v>Anatomie - Blézat</v>
      </c>
      <c r="O9" s="38" t="str">
        <f>Etiquettes!$I$11</f>
        <v>Rendement</v>
      </c>
      <c r="P9" t="str">
        <f t="shared" ref="P9" si="3">_xlfn.CONCAT(K9," = ",MROUND(D8*100,0.01)," % (",M9,")")</f>
        <v>Rendement en coproduits C2 de l'abattage-découpe de veaux = 0 % (Blézat)</v>
      </c>
      <c r="Q9" s="10" t="str">
        <f>Etiquettes!$J$15</f>
        <v>Probable</v>
      </c>
      <c r="R9" s="112" t="s">
        <v>664</v>
      </c>
      <c r="S9" s="111" t="str">
        <f>Etiquettes!$H$17</f>
        <v>Donnée collectée (valeur du flux ou coefficient)</v>
      </c>
      <c r="U9" s="205"/>
    </row>
    <row r="10" spans="1:21">
      <c r="A10" s="10">
        <f t="shared" si="0"/>
        <v>5</v>
      </c>
      <c r="B10" t="str">
        <f>Produits!$B$3</f>
        <v>Veaux</v>
      </c>
      <c r="C10" t="str">
        <f>Secteurs!$B$5</f>
        <v>Abattage / découpe de veaux</v>
      </c>
      <c r="D10" s="29">
        <f>'Anatomie - Blézat'!D26</f>
        <v>0.36593073593073588</v>
      </c>
      <c r="G10" s="27" t="str">
        <f>Etiquettes!$C$7</f>
        <v>kt</v>
      </c>
      <c r="H10" s="111" t="str">
        <f>Etiquettes!$C$4</f>
        <v>Viande bovine</v>
      </c>
      <c r="I10" s="27" t="str">
        <f>Etiquettes!$C$6</f>
        <v>2015:2019:2023</v>
      </c>
      <c r="J10" s="27" t="str">
        <f>Etiquettes!$C$5</f>
        <v>France entière</v>
      </c>
      <c r="M10"/>
      <c r="U10" s="205"/>
    </row>
    <row r="11" spans="1:21">
      <c r="A11" s="10">
        <f t="shared" si="0"/>
        <v>5</v>
      </c>
      <c r="B11" t="str">
        <f>Secteurs!$B$5</f>
        <v>Abattage / découpe de veaux</v>
      </c>
      <c r="C11" t="str">
        <f>Produits!$B$17</f>
        <v>C3 et alimentaire</v>
      </c>
      <c r="D11">
        <v>-1</v>
      </c>
      <c r="G11" s="27" t="str">
        <f>Etiquettes!$C$7</f>
        <v>kt</v>
      </c>
      <c r="H11" s="111" t="str">
        <f>Etiquettes!$C$4</f>
        <v>Viande bovine</v>
      </c>
      <c r="I11" s="27" t="str">
        <f>Etiquettes!$C$6</f>
        <v>2015:2019:2023</v>
      </c>
      <c r="J11" s="27" t="str">
        <f>Etiquettes!$C$5</f>
        <v>France entière</v>
      </c>
      <c r="K11" s="38" t="s">
        <v>524</v>
      </c>
      <c r="M11" t="s">
        <v>455</v>
      </c>
      <c r="N11" s="38" t="str" cm="1">
        <f t="array" aca="1" ref="N11" ca="1">[1]!NOM_FEUILLE('Anatomie - Blézat'!$A$1)</f>
        <v>Anatomie - Blézat</v>
      </c>
      <c r="O11" s="38" t="str">
        <f>Etiquettes!$I$11</f>
        <v>Rendement</v>
      </c>
      <c r="P11" t="str">
        <f t="shared" ref="P11" si="4">_xlfn.CONCAT(K11," = ",MROUND(D10*100,0.01)," % (",M11,")")</f>
        <v>Rendement en coproduits C3 et alimentaire de l'abattage-découpe de veaux = 36,59 % (Blézat)</v>
      </c>
      <c r="Q11" s="10" t="str">
        <f>Etiquettes!$J$15</f>
        <v>Probable</v>
      </c>
      <c r="R11" s="112" t="s">
        <v>664</v>
      </c>
      <c r="S11" s="111" t="str">
        <f>Etiquettes!$H$17</f>
        <v>Donnée collectée (valeur du flux ou coefficient)</v>
      </c>
      <c r="U11" s="205"/>
    </row>
    <row r="12" spans="1:21">
      <c r="A12" s="10">
        <f t="shared" si="0"/>
        <v>6</v>
      </c>
      <c r="B12" t="str">
        <f>Produits!$B$3</f>
        <v>Veaux</v>
      </c>
      <c r="C12" t="str">
        <f>Secteurs!$B$5</f>
        <v>Abattage / découpe de veaux</v>
      </c>
      <c r="D12" s="29">
        <f>'Anatomie - Blézat'!D27</f>
        <v>6.4935064935064929E-2</v>
      </c>
      <c r="G12" s="27" t="str">
        <f>Etiquettes!$C$7</f>
        <v>kt</v>
      </c>
      <c r="H12" s="111" t="str">
        <f>Etiquettes!$C$4</f>
        <v>Viande bovine</v>
      </c>
      <c r="I12" s="27" t="str">
        <f>Etiquettes!$C$6</f>
        <v>2015:2019:2023</v>
      </c>
      <c r="J12" s="27" t="str">
        <f>Etiquettes!$C$5</f>
        <v>France entière</v>
      </c>
      <c r="M12"/>
      <c r="U12" s="205"/>
    </row>
    <row r="13" spans="1:21">
      <c r="A13" s="10">
        <f t="shared" si="0"/>
        <v>6</v>
      </c>
      <c r="B13" t="str">
        <f>Secteurs!$B$5</f>
        <v>Abattage / découpe de veaux</v>
      </c>
      <c r="C13" t="str">
        <f>Produits!$B$13</f>
        <v>Cuirs</v>
      </c>
      <c r="D13">
        <v>-1</v>
      </c>
      <c r="G13" s="27" t="str">
        <f>Etiquettes!$C$7</f>
        <v>kt</v>
      </c>
      <c r="H13" s="111" t="str">
        <f>Etiquettes!$C$4</f>
        <v>Viande bovine</v>
      </c>
      <c r="I13" s="27" t="str">
        <f>Etiquettes!$C$6</f>
        <v>2015:2019:2023</v>
      </c>
      <c r="J13" s="27" t="str">
        <f>Etiquettes!$C$5</f>
        <v>France entière</v>
      </c>
      <c r="K13" s="38" t="s">
        <v>525</v>
      </c>
      <c r="M13" t="s">
        <v>455</v>
      </c>
      <c r="N13" s="38" t="str" cm="1">
        <f t="array" aca="1" ref="N13" ca="1">[1]!NOM_FEUILLE('Anatomie - Blézat'!$A$1)</f>
        <v>Anatomie - Blézat</v>
      </c>
      <c r="O13" s="38" t="str">
        <f>Etiquettes!$I$11</f>
        <v>Rendement</v>
      </c>
      <c r="P13" t="str">
        <f t="shared" ref="P13" si="5">_xlfn.CONCAT(K13," = ",MROUND(D12*100,0.01)," % (",M13,")")</f>
        <v>Rendement en cuirs de l'abattage-découpe de veaux = 6,49 % (Blézat)</v>
      </c>
      <c r="Q13" s="10" t="str">
        <f>Etiquettes!$J$15</f>
        <v>Probable</v>
      </c>
      <c r="R13" s="112" t="s">
        <v>664</v>
      </c>
      <c r="S13" s="111" t="str">
        <f>Etiquettes!$H$17</f>
        <v>Donnée collectée (valeur du flux ou coefficient)</v>
      </c>
      <c r="U13" s="205"/>
    </row>
    <row r="14" spans="1:21">
      <c r="A14" s="10">
        <f t="shared" si="0"/>
        <v>7</v>
      </c>
      <c r="B14" t="str">
        <f>Produits!$B$3</f>
        <v>Veaux</v>
      </c>
      <c r="C14" t="str">
        <f>Secteurs!$B$5</f>
        <v>Abattage / découpe de veaux</v>
      </c>
      <c r="D14" s="29">
        <f>'Anatomie - Blézat'!D28</f>
        <v>1.1688311688311689E-2</v>
      </c>
      <c r="G14" s="27" t="str">
        <f>Etiquettes!$C$7</f>
        <v>kt</v>
      </c>
      <c r="H14" s="111" t="str">
        <f>Etiquettes!$C$4</f>
        <v>Viande bovine</v>
      </c>
      <c r="I14" s="27" t="str">
        <f>Etiquettes!$C$6</f>
        <v>2015:2019:2023</v>
      </c>
      <c r="J14" s="27" t="str">
        <f>Etiquettes!$C$5</f>
        <v>France entière</v>
      </c>
      <c r="M14"/>
      <c r="U14" s="205"/>
    </row>
    <row r="15" spans="1:21" ht="15" thickBot="1">
      <c r="A15" s="10">
        <f t="shared" si="0"/>
        <v>7</v>
      </c>
      <c r="B15" t="str">
        <f>Secteurs!$B$5</f>
        <v>Abattage / découpe de veaux</v>
      </c>
      <c r="C15" t="str">
        <f>Produits!$B$30</f>
        <v>Eau - ressuage</v>
      </c>
      <c r="D15">
        <v>-1</v>
      </c>
      <c r="G15" s="27" t="str">
        <f>Etiquettes!$C$7</f>
        <v>kt</v>
      </c>
      <c r="H15" s="111" t="str">
        <f>Etiquettes!$C$4</f>
        <v>Viande bovine</v>
      </c>
      <c r="I15" s="27" t="str">
        <f>Etiquettes!$C$6</f>
        <v>2015:2019:2023</v>
      </c>
      <c r="J15" s="27" t="str">
        <f>Etiquettes!$C$5</f>
        <v>France entière</v>
      </c>
      <c r="K15" s="38" t="s">
        <v>526</v>
      </c>
      <c r="M15" t="s">
        <v>455</v>
      </c>
      <c r="N15" s="38" t="str" cm="1">
        <f t="array" aca="1" ref="N15" ca="1">[1]!NOM_FEUILLE('Anatomie - Blézat'!$A$1)</f>
        <v>Anatomie - Blézat</v>
      </c>
      <c r="O15" s="38" t="str">
        <f>Etiquettes!$I$11</f>
        <v>Rendement</v>
      </c>
      <c r="P15" t="str">
        <f t="shared" ref="P15" si="6">_xlfn.CONCAT(K15," = ",MROUND(D14*100,0.01)," % (",M15,")")</f>
        <v>Pertes en eau de l'abattage-découpe de veaux = 1,17 % (Blézat)</v>
      </c>
      <c r="Q15" s="10" t="str">
        <f>Etiquettes!$J$15</f>
        <v>Probable</v>
      </c>
      <c r="R15" s="112" t="s">
        <v>664</v>
      </c>
      <c r="S15" s="111" t="str">
        <f>Etiquettes!$H$17</f>
        <v>Donnée collectée (valeur du flux ou coefficient)</v>
      </c>
      <c r="U15" s="205"/>
    </row>
    <row r="16" spans="1:21" ht="14.4" customHeight="1">
      <c r="A16" s="10">
        <f t="shared" si="0"/>
        <v>8</v>
      </c>
      <c r="B16" t="str">
        <f>Produits!$B$4</f>
        <v>Gros bovins</v>
      </c>
      <c r="C16" t="str">
        <f>Secteurs!$B$6</f>
        <v>Abattage / découpe de gros bovins</v>
      </c>
      <c r="D16" s="29">
        <f>'Anatomie - Blézat'!D8</f>
        <v>0.38358208955223883</v>
      </c>
      <c r="G16" s="27" t="str">
        <f>Etiquettes!$C$7</f>
        <v>kt</v>
      </c>
      <c r="H16" s="111" t="str">
        <f>Etiquettes!$C$4</f>
        <v>Viande bovine</v>
      </c>
      <c r="I16" s="27" t="str">
        <f>Etiquettes!$C$6</f>
        <v>2015:2019:2023</v>
      </c>
      <c r="J16" s="27" t="str">
        <f>Etiquettes!$C$5</f>
        <v>France entière</v>
      </c>
      <c r="M16"/>
      <c r="U16" s="220" t="s">
        <v>227</v>
      </c>
    </row>
    <row r="17" spans="1:21">
      <c r="A17" s="10">
        <f t="shared" si="0"/>
        <v>8</v>
      </c>
      <c r="B17" t="str">
        <f>Secteurs!$B$6</f>
        <v>Abattage / découpe de gros bovins</v>
      </c>
      <c r="C17" t="str">
        <f>Produits!$B$20</f>
        <v>Viande de gros bovins</v>
      </c>
      <c r="D17">
        <v>-1</v>
      </c>
      <c r="G17" s="27" t="str">
        <f>Etiquettes!$C$7</f>
        <v>kt</v>
      </c>
      <c r="H17" s="111" t="str">
        <f>Etiquettes!$C$4</f>
        <v>Viande bovine</v>
      </c>
      <c r="I17" s="27" t="str">
        <f>Etiquettes!$C$6</f>
        <v>2015:2019:2023</v>
      </c>
      <c r="J17" s="27" t="str">
        <f>Etiquettes!$C$5</f>
        <v>France entière</v>
      </c>
      <c r="K17" s="38" t="s">
        <v>527</v>
      </c>
      <c r="M17" t="s">
        <v>455</v>
      </c>
      <c r="N17" s="38" t="str" cm="1">
        <f t="array" aca="1" ref="N17" ca="1">[1]!NOM_FEUILLE('Anatomie - Blézat'!$A$1)</f>
        <v>Anatomie - Blézat</v>
      </c>
      <c r="O17" s="38" t="str">
        <f>Etiquettes!$I$11</f>
        <v>Rendement</v>
      </c>
      <c r="P17" t="str">
        <f t="shared" ref="P17" si="7">_xlfn.CONCAT(K17," = ",MROUND(D16*100,0.01)," % (",M17,")")</f>
        <v>Rendement en viande de l'abattage-découpe de gros bovins = 38,36 % (Blézat)</v>
      </c>
      <c r="Q17" s="10" t="str">
        <f>Etiquettes!$J$15</f>
        <v>Probable</v>
      </c>
      <c r="R17" s="112" t="s">
        <v>664</v>
      </c>
      <c r="S17" s="111" t="str">
        <f>Etiquettes!$H$17</f>
        <v>Donnée collectée (valeur du flux ou coefficient)</v>
      </c>
      <c r="U17" s="205"/>
    </row>
    <row r="18" spans="1:21">
      <c r="A18" s="10">
        <f t="shared" si="0"/>
        <v>9</v>
      </c>
      <c r="B18" t="str">
        <f>Produits!$B$4</f>
        <v>Gros bovins</v>
      </c>
      <c r="C18" t="str">
        <f>Secteurs!$B$6</f>
        <v>Abattage / découpe de gros bovins</v>
      </c>
      <c r="D18" s="29">
        <f>'Anatomie - Blézat'!D9</f>
        <v>7.1791044776119389E-2</v>
      </c>
      <c r="G18" s="27" t="str">
        <f>Etiquettes!$C$7</f>
        <v>kt</v>
      </c>
      <c r="H18" s="111" t="str">
        <f>Etiquettes!$C$4</f>
        <v>Viande bovine</v>
      </c>
      <c r="I18" s="27" t="str">
        <f>Etiquettes!$C$6</f>
        <v>2015:2019:2023</v>
      </c>
      <c r="J18" s="27" t="str">
        <f>Etiquettes!$C$5</f>
        <v>France entière</v>
      </c>
      <c r="M18"/>
      <c r="U18" s="205"/>
    </row>
    <row r="19" spans="1:21">
      <c r="A19" s="10">
        <f t="shared" si="0"/>
        <v>9</v>
      </c>
      <c r="B19" t="str">
        <f>Secteurs!$B$6</f>
        <v>Abattage / découpe de gros bovins</v>
      </c>
      <c r="C19" t="str">
        <f>Produits!$B$12</f>
        <v>Abats</v>
      </c>
      <c r="D19">
        <v>-1</v>
      </c>
      <c r="G19" s="27" t="str">
        <f>Etiquettes!$C$7</f>
        <v>kt</v>
      </c>
      <c r="H19" s="111" t="str">
        <f>Etiquettes!$C$4</f>
        <v>Viande bovine</v>
      </c>
      <c r="I19" s="27" t="str">
        <f>Etiquettes!$C$6</f>
        <v>2015:2019:2023</v>
      </c>
      <c r="J19" s="27" t="str">
        <f>Etiquettes!$C$5</f>
        <v>France entière</v>
      </c>
      <c r="K19" s="38" t="s">
        <v>528</v>
      </c>
      <c r="M19" t="s">
        <v>455</v>
      </c>
      <c r="N19" s="38" t="str" cm="1">
        <f t="array" aca="1" ref="N19" ca="1">[1]!NOM_FEUILLE('Anatomie - Blézat'!$A$1)</f>
        <v>Anatomie - Blézat</v>
      </c>
      <c r="O19" s="38" t="str">
        <f>Etiquettes!$I$11</f>
        <v>Rendement</v>
      </c>
      <c r="P19" t="str">
        <f t="shared" ref="P19" si="8">_xlfn.CONCAT(K19," = ",MROUND(D18*100,0.01)," % (",M19,")")</f>
        <v>Rendement en abats de l'abattage-découpe de gros bovins = 7,18 % (Blézat)</v>
      </c>
      <c r="Q19" s="10" t="str">
        <f>Etiquettes!$J$15</f>
        <v>Probable</v>
      </c>
      <c r="R19" s="112" t="s">
        <v>664</v>
      </c>
      <c r="S19" s="111" t="str">
        <f>Etiquettes!$H$17</f>
        <v>Donnée collectée (valeur du flux ou coefficient)</v>
      </c>
      <c r="U19" s="205"/>
    </row>
    <row r="20" spans="1:21">
      <c r="A20" s="10">
        <f t="shared" si="0"/>
        <v>10</v>
      </c>
      <c r="B20" t="str">
        <f>Produits!$B$4</f>
        <v>Gros bovins</v>
      </c>
      <c r="C20" t="str">
        <f>Secteurs!$B$6</f>
        <v>Abattage / découpe de gros bovins</v>
      </c>
      <c r="D20" s="29">
        <f>'Anatomie - Blézat'!D11</f>
        <v>5.1044776119402988E-2</v>
      </c>
      <c r="G20" s="27" t="str">
        <f>Etiquettes!$C$7</f>
        <v>kt</v>
      </c>
      <c r="H20" s="111" t="str">
        <f>Etiquettes!$C$4</f>
        <v>Viande bovine</v>
      </c>
      <c r="I20" s="27" t="str">
        <f>Etiquettes!$C$6</f>
        <v>2015:2019:2023</v>
      </c>
      <c r="J20" s="27" t="str">
        <f>Etiquettes!$C$5</f>
        <v>France entière</v>
      </c>
      <c r="M20"/>
      <c r="U20" s="205"/>
    </row>
    <row r="21" spans="1:21">
      <c r="A21" s="10">
        <f t="shared" si="0"/>
        <v>10</v>
      </c>
      <c r="B21" t="str">
        <f>Secteurs!$B$6</f>
        <v>Abattage / découpe de gros bovins</v>
      </c>
      <c r="C21" t="str">
        <f>Produits!$B$15</f>
        <v>C1</v>
      </c>
      <c r="D21">
        <v>-1</v>
      </c>
      <c r="G21" s="27" t="str">
        <f>Etiquettes!$C$7</f>
        <v>kt</v>
      </c>
      <c r="H21" s="111" t="str">
        <f>Etiquettes!$C$4</f>
        <v>Viande bovine</v>
      </c>
      <c r="I21" s="27" t="str">
        <f>Etiquettes!$C$6</f>
        <v>2015:2019:2023</v>
      </c>
      <c r="J21" s="27" t="str">
        <f>Etiquettes!$C$5</f>
        <v>France entière</v>
      </c>
      <c r="K21" s="38" t="s">
        <v>529</v>
      </c>
      <c r="M21" t="s">
        <v>455</v>
      </c>
      <c r="N21" s="38" t="str" cm="1">
        <f t="array" aca="1" ref="N21" ca="1">[1]!NOM_FEUILLE('Anatomie - Blézat'!$A$1)</f>
        <v>Anatomie - Blézat</v>
      </c>
      <c r="O21" s="38" t="str">
        <f>Etiquettes!$I$11</f>
        <v>Rendement</v>
      </c>
      <c r="P21" t="str">
        <f t="shared" ref="P21" si="9">_xlfn.CONCAT(K21," = ",MROUND(D20*100,0.01)," % (",M21,")")</f>
        <v>Rendement en coproduits C1 de l'abattage-découpe de gros bovins = 5,1 % (Blézat)</v>
      </c>
      <c r="Q21" s="10" t="str">
        <f>Etiquettes!$J$15</f>
        <v>Probable</v>
      </c>
      <c r="R21" s="112" t="s">
        <v>664</v>
      </c>
      <c r="S21" s="111" t="str">
        <f>Etiquettes!$H$17</f>
        <v>Donnée collectée (valeur du flux ou coefficient)</v>
      </c>
      <c r="U21" s="205"/>
    </row>
    <row r="22" spans="1:21">
      <c r="A22" s="10">
        <f t="shared" si="0"/>
        <v>11</v>
      </c>
      <c r="B22" t="str">
        <f>Produits!$B$4</f>
        <v>Gros bovins</v>
      </c>
      <c r="C22" t="str">
        <f>Secteurs!$B$6</f>
        <v>Abattage / découpe de gros bovins</v>
      </c>
      <c r="D22" s="29">
        <f>'Anatomie - Blézat'!D12</f>
        <v>0.10029850746268656</v>
      </c>
      <c r="G22" s="27" t="str">
        <f>Etiquettes!$C$7</f>
        <v>kt</v>
      </c>
      <c r="H22" s="111" t="str">
        <f>Etiquettes!$C$4</f>
        <v>Viande bovine</v>
      </c>
      <c r="I22" s="27" t="str">
        <f>Etiquettes!$C$6</f>
        <v>2015:2019:2023</v>
      </c>
      <c r="J22" s="27" t="str">
        <f>Etiquettes!$C$5</f>
        <v>France entière</v>
      </c>
      <c r="M22"/>
      <c r="U22" s="205"/>
    </row>
    <row r="23" spans="1:21">
      <c r="A23" s="10">
        <f t="shared" si="0"/>
        <v>11</v>
      </c>
      <c r="B23" t="str">
        <f>Secteurs!$B$6</f>
        <v>Abattage / découpe de gros bovins</v>
      </c>
      <c r="C23" t="str">
        <f>Produits!$B$16</f>
        <v>C2</v>
      </c>
      <c r="D23">
        <v>-1</v>
      </c>
      <c r="G23" s="27" t="str">
        <f>Etiquettes!$C$7</f>
        <v>kt</v>
      </c>
      <c r="H23" s="111" t="str">
        <f>Etiquettes!$C$4</f>
        <v>Viande bovine</v>
      </c>
      <c r="I23" s="27" t="str">
        <f>Etiquettes!$C$6</f>
        <v>2015:2019:2023</v>
      </c>
      <c r="J23" s="27" t="str">
        <f>Etiquettes!$C$5</f>
        <v>France entière</v>
      </c>
      <c r="K23" s="38" t="s">
        <v>530</v>
      </c>
      <c r="M23" t="s">
        <v>455</v>
      </c>
      <c r="N23" s="38" t="str" cm="1">
        <f t="array" aca="1" ref="N23" ca="1">[1]!NOM_FEUILLE('Anatomie - Blézat'!$A$1)</f>
        <v>Anatomie - Blézat</v>
      </c>
      <c r="O23" s="38" t="str">
        <f>Etiquettes!$I$11</f>
        <v>Rendement</v>
      </c>
      <c r="P23" t="str">
        <f t="shared" ref="P23" si="10">_xlfn.CONCAT(K23," = ",MROUND(D22*100,0.01)," % (",M23,")")</f>
        <v>Rendement en coproduits C2 de l'abattage-découpe de gros bovins = 10,03 % (Blézat)</v>
      </c>
      <c r="Q23" s="10" t="str">
        <f>Etiquettes!$J$15</f>
        <v>Probable</v>
      </c>
      <c r="R23" s="112" t="s">
        <v>664</v>
      </c>
      <c r="S23" s="111" t="str">
        <f>Etiquettes!$H$17</f>
        <v>Donnée collectée (valeur du flux ou coefficient)</v>
      </c>
      <c r="U23" s="205"/>
    </row>
    <row r="24" spans="1:21">
      <c r="A24" s="10">
        <f t="shared" si="0"/>
        <v>12</v>
      </c>
      <c r="B24" t="str">
        <f>Produits!$B$4</f>
        <v>Gros bovins</v>
      </c>
      <c r="C24" t="str">
        <f>Secteurs!$B$6</f>
        <v>Abattage / découpe de gros bovins</v>
      </c>
      <c r="D24" s="29">
        <f>'Anatomie - Blézat'!D13</f>
        <v>0.3249253731343284</v>
      </c>
      <c r="G24" s="27" t="str">
        <f>Etiquettes!$C$7</f>
        <v>kt</v>
      </c>
      <c r="H24" s="111" t="str">
        <f>Etiquettes!$C$4</f>
        <v>Viande bovine</v>
      </c>
      <c r="I24" s="27" t="str">
        <f>Etiquettes!$C$6</f>
        <v>2015:2019:2023</v>
      </c>
      <c r="J24" s="27" t="str">
        <f>Etiquettes!$C$5</f>
        <v>France entière</v>
      </c>
      <c r="M24"/>
      <c r="U24" s="205"/>
    </row>
    <row r="25" spans="1:21">
      <c r="A25" s="10">
        <f t="shared" si="0"/>
        <v>12</v>
      </c>
      <c r="B25" t="str">
        <f>Secteurs!$B$6</f>
        <v>Abattage / découpe de gros bovins</v>
      </c>
      <c r="C25" t="str">
        <f>Produits!$B$17</f>
        <v>C3 et alimentaire</v>
      </c>
      <c r="D25">
        <v>-1</v>
      </c>
      <c r="G25" s="27" t="str">
        <f>Etiquettes!$C$7</f>
        <v>kt</v>
      </c>
      <c r="H25" s="111" t="str">
        <f>Etiquettes!$C$4</f>
        <v>Viande bovine</v>
      </c>
      <c r="I25" s="27" t="str">
        <f>Etiquettes!$C$6</f>
        <v>2015:2019:2023</v>
      </c>
      <c r="J25" s="27" t="str">
        <f>Etiquettes!$C$5</f>
        <v>France entière</v>
      </c>
      <c r="K25" s="38" t="s">
        <v>531</v>
      </c>
      <c r="M25" t="s">
        <v>455</v>
      </c>
      <c r="N25" s="38" t="str" cm="1">
        <f t="array" aca="1" ref="N25" ca="1">[1]!NOM_FEUILLE('Anatomie - Blézat'!$A$1)</f>
        <v>Anatomie - Blézat</v>
      </c>
      <c r="O25" s="38" t="str">
        <f>Etiquettes!$I$11</f>
        <v>Rendement</v>
      </c>
      <c r="P25" t="str">
        <f t="shared" ref="P25" si="11">_xlfn.CONCAT(K25," = ",MROUND(D24*100,0.01)," % (",M25,")")</f>
        <v>Rendement en coproduits C3 et alimentaire de l'abattage-découpe de gros bovins = 32,49 % (Blézat)</v>
      </c>
      <c r="Q25" s="10" t="str">
        <f>Etiquettes!$J$15</f>
        <v>Probable</v>
      </c>
      <c r="R25" s="112" t="s">
        <v>664</v>
      </c>
      <c r="S25" s="111" t="str">
        <f>Etiquettes!$H$17</f>
        <v>Donnée collectée (valeur du flux ou coefficient)</v>
      </c>
      <c r="U25" s="205"/>
    </row>
    <row r="26" spans="1:21">
      <c r="A26" s="10">
        <f t="shared" si="0"/>
        <v>13</v>
      </c>
      <c r="B26" t="str">
        <f>Produits!$B$4</f>
        <v>Gros bovins</v>
      </c>
      <c r="C26" t="str">
        <f>Secteurs!$B$6</f>
        <v>Abattage / découpe de gros bovins</v>
      </c>
      <c r="D26" s="29">
        <f>'Anatomie - Blézat'!D14</f>
        <v>5.5820895522388059E-2</v>
      </c>
      <c r="G26" s="27" t="str">
        <f>Etiquettes!$C$7</f>
        <v>kt</v>
      </c>
      <c r="H26" s="111" t="str">
        <f>Etiquettes!$C$4</f>
        <v>Viande bovine</v>
      </c>
      <c r="I26" s="27" t="str">
        <f>Etiquettes!$C$6</f>
        <v>2015:2019:2023</v>
      </c>
      <c r="J26" s="27" t="str">
        <f>Etiquettes!$C$5</f>
        <v>France entière</v>
      </c>
      <c r="M26"/>
      <c r="U26" s="205"/>
    </row>
    <row r="27" spans="1:21">
      <c r="A27" s="10">
        <f t="shared" si="0"/>
        <v>13</v>
      </c>
      <c r="B27" t="str">
        <f>Secteurs!$B$6</f>
        <v>Abattage / découpe de gros bovins</v>
      </c>
      <c r="C27" t="str">
        <f>Produits!$B$13</f>
        <v>Cuirs</v>
      </c>
      <c r="D27">
        <v>-1</v>
      </c>
      <c r="G27" s="27" t="str">
        <f>Etiquettes!$C$7</f>
        <v>kt</v>
      </c>
      <c r="H27" s="111" t="str">
        <f>Etiquettes!$C$4</f>
        <v>Viande bovine</v>
      </c>
      <c r="I27" s="27" t="str">
        <f>Etiquettes!$C$6</f>
        <v>2015:2019:2023</v>
      </c>
      <c r="J27" s="27" t="str">
        <f>Etiquettes!$C$5</f>
        <v>France entière</v>
      </c>
      <c r="K27" s="38" t="s">
        <v>532</v>
      </c>
      <c r="M27" t="s">
        <v>455</v>
      </c>
      <c r="N27" s="38" t="str" cm="1">
        <f t="array" aca="1" ref="N27" ca="1">[1]!NOM_FEUILLE('Anatomie - Blézat'!$A$1)</f>
        <v>Anatomie - Blézat</v>
      </c>
      <c r="O27" s="38" t="str">
        <f>Etiquettes!$I$11</f>
        <v>Rendement</v>
      </c>
      <c r="P27" t="str">
        <f t="shared" ref="P27" si="12">_xlfn.CONCAT(K27," = ",MROUND(D26*100,0.01)," % (",M27,")")</f>
        <v>Rendement en cuirs de l'abattage-découpe de gros bovins = 5,58 % (Blézat)</v>
      </c>
      <c r="Q27" s="10" t="str">
        <f>Etiquettes!$J$15</f>
        <v>Probable</v>
      </c>
      <c r="R27" s="112" t="s">
        <v>664</v>
      </c>
      <c r="S27" s="111" t="str">
        <f>Etiquettes!$H$17</f>
        <v>Donnée collectée (valeur du flux ou coefficient)</v>
      </c>
      <c r="U27" s="205"/>
    </row>
    <row r="28" spans="1:21">
      <c r="A28" s="10">
        <f t="shared" si="0"/>
        <v>14</v>
      </c>
      <c r="B28" t="str">
        <f>Produits!$B$4</f>
        <v>Gros bovins</v>
      </c>
      <c r="C28" t="str">
        <f>Secteurs!$B$6</f>
        <v>Abattage / découpe de gros bovins</v>
      </c>
      <c r="D28" s="29">
        <f>'Anatomie - Blézat'!D15</f>
        <v>1.2537313432835821E-2</v>
      </c>
      <c r="G28" s="27" t="str">
        <f>Etiquettes!$C$7</f>
        <v>kt</v>
      </c>
      <c r="H28" s="111" t="str">
        <f>Etiquettes!$C$4</f>
        <v>Viande bovine</v>
      </c>
      <c r="I28" s="27" t="str">
        <f>Etiquettes!$C$6</f>
        <v>2015:2019:2023</v>
      </c>
      <c r="J28" s="27" t="str">
        <f>Etiquettes!$C$5</f>
        <v>France entière</v>
      </c>
      <c r="M28"/>
      <c r="U28" s="205"/>
    </row>
    <row r="29" spans="1:21">
      <c r="A29" s="10">
        <f t="shared" si="0"/>
        <v>14</v>
      </c>
      <c r="B29" t="str">
        <f>Secteurs!$B$6</f>
        <v>Abattage / découpe de gros bovins</v>
      </c>
      <c r="C29" t="str">
        <f>Produits!$B$30</f>
        <v>Eau - ressuage</v>
      </c>
      <c r="D29">
        <v>-1</v>
      </c>
      <c r="G29" s="27" t="str">
        <f>Etiquettes!$C$7</f>
        <v>kt</v>
      </c>
      <c r="H29" s="111" t="str">
        <f>Etiquettes!$C$4</f>
        <v>Viande bovine</v>
      </c>
      <c r="I29" s="27" t="str">
        <f>Etiquettes!$C$6</f>
        <v>2015:2019:2023</v>
      </c>
      <c r="J29" s="27" t="str">
        <f>Etiquettes!$C$5</f>
        <v>France entière</v>
      </c>
      <c r="K29" s="38" t="s">
        <v>533</v>
      </c>
      <c r="M29" t="s">
        <v>455</v>
      </c>
      <c r="N29" s="38" t="str" cm="1">
        <f t="array" aca="1" ref="N29" ca="1">[1]!NOM_FEUILLE('Anatomie - Blézat'!$A$1)</f>
        <v>Anatomie - Blézat</v>
      </c>
      <c r="O29" s="38" t="str">
        <f>Etiquettes!$I$11</f>
        <v>Rendement</v>
      </c>
      <c r="P29" t="str">
        <f t="shared" ref="P29" si="13">_xlfn.CONCAT(K29," = ",MROUND(D28*100,0.01)," % (",M29,")")</f>
        <v>Pertes en eau de l'abattage-découpe de gros bovins = 1,25 % (Blézat)</v>
      </c>
      <c r="Q29" s="10" t="str">
        <f>Etiquettes!$J$15</f>
        <v>Probable</v>
      </c>
      <c r="R29" s="112" t="s">
        <v>664</v>
      </c>
      <c r="S29" s="111" t="str">
        <f>Etiquettes!$H$17</f>
        <v>Donnée collectée (valeur du flux ou coefficient)</v>
      </c>
      <c r="U29" s="205"/>
    </row>
  </sheetData>
  <mergeCells count="2">
    <mergeCell ref="U2:U15"/>
    <mergeCell ref="U16:U2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5BBCC-C235-4AD3-8CC9-D219187341E4}">
  <sheetPr>
    <tabColor theme="1"/>
  </sheetPr>
  <dimension ref="A1:Q15"/>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124" t="s">
        <v>30</v>
      </c>
      <c r="B1" s="125" t="s">
        <v>31</v>
      </c>
      <c r="C1" s="125" t="s">
        <v>32</v>
      </c>
      <c r="D1" s="125" t="s">
        <v>34</v>
      </c>
      <c r="E1" t="str" cm="1">
        <f t="array" aca="1" ref="E1:Q15" ca="1">_xlfn._xlws.FILTER(Contraintes!G1:S200,ISTEXT(Contraintes!P1:P200))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15">_xlfn._xlws.FILTER(Contraintes!B2:C200,ISTEXT(Contraintes!P2:P200))</f>
        <v>Abattage / découpe de veaux</v>
      </c>
      <c r="B2" t="str">
        <v>Viande de veaux</v>
      </c>
      <c r="E2" t="str">
        <f ca="1"/>
        <v>kt</v>
      </c>
      <c r="F2" t="str">
        <f ca="1"/>
        <v>Viande bovine</v>
      </c>
      <c r="G2" t="str">
        <f ca="1"/>
        <v>2015:2019:2023</v>
      </c>
      <c r="H2" t="str">
        <f ca="1"/>
        <v>France entière</v>
      </c>
      <c r="I2" t="str">
        <f ca="1"/>
        <v>Rendement en viande de l'abattage-découpe de veaux</v>
      </c>
      <c r="J2">
        <f ca="1"/>
        <v>0</v>
      </c>
      <c r="K2" t="str">
        <f ca="1"/>
        <v>Blézat</v>
      </c>
      <c r="L2" t="str">
        <f ca="1"/>
        <v>Anatomie - Blézat</v>
      </c>
      <c r="M2" t="str">
        <f ca="1"/>
        <v>Rendement</v>
      </c>
      <c r="N2" t="str">
        <f ca="1"/>
        <v>Rendement en viande de l'abattage-découpe de veaux = 40,61 % (Blézat)</v>
      </c>
      <c r="O2" t="str">
        <f ca="1"/>
        <v>Probable</v>
      </c>
      <c r="P2" t="str">
        <f ca="1"/>
        <v>Données collectées:Données déterminées</v>
      </c>
      <c r="Q2" t="str">
        <f ca="1"/>
        <v>Donnée collectée (valeur du flux ou coefficient)</v>
      </c>
    </row>
    <row r="3" spans="1:17">
      <c r="A3" t="str">
        <v>Abattage / découpe de veaux</v>
      </c>
      <c r="B3" t="str">
        <v>Abats</v>
      </c>
      <c r="E3" t="str">
        <f ca="1"/>
        <v>kt</v>
      </c>
      <c r="F3" t="str">
        <f ca="1"/>
        <v>Viande bovine</v>
      </c>
      <c r="G3" t="str">
        <f ca="1"/>
        <v>2015:2019:2023</v>
      </c>
      <c r="H3" t="str">
        <f ca="1"/>
        <v>France entière</v>
      </c>
      <c r="I3" t="str">
        <f ca="1"/>
        <v>Rendement en abats de l'abattage-découpe de veaux</v>
      </c>
      <c r="J3">
        <f ca="1"/>
        <v>0</v>
      </c>
      <c r="K3" t="str">
        <f ca="1"/>
        <v>Blézat</v>
      </c>
      <c r="L3" t="str">
        <f ca="1"/>
        <v>Anatomie - Blézat</v>
      </c>
      <c r="M3" t="str">
        <f ca="1"/>
        <v>Rendement</v>
      </c>
      <c r="N3" t="str">
        <f ca="1"/>
        <v>Rendement en abats de l'abattage-découpe de veaux = 9,51 % (Blézat)</v>
      </c>
      <c r="O3" t="str">
        <f ca="1"/>
        <v>Probable</v>
      </c>
      <c r="P3" t="str">
        <f ca="1"/>
        <v>Données collectées:Données déterminées</v>
      </c>
      <c r="Q3" t="str">
        <f ca="1"/>
        <v>Donnée collectée (valeur du flux ou coefficient)</v>
      </c>
    </row>
    <row r="4" spans="1:17">
      <c r="A4" t="str">
        <v>Abattage / découpe de veaux</v>
      </c>
      <c r="B4" t="str">
        <v>C1</v>
      </c>
      <c r="E4" t="str">
        <f ca="1"/>
        <v>kt</v>
      </c>
      <c r="F4" t="str">
        <f ca="1"/>
        <v>Viande bovine</v>
      </c>
      <c r="G4" t="str">
        <f ca="1"/>
        <v>2015:2019:2023</v>
      </c>
      <c r="H4" t="str">
        <f ca="1"/>
        <v>France entière</v>
      </c>
      <c r="I4" t="str">
        <f ca="1"/>
        <v>Rendement en coproduits C1 de l'abattage-découpe de veaux</v>
      </c>
      <c r="J4">
        <f ca="1"/>
        <v>0</v>
      </c>
      <c r="K4" t="str">
        <f ca="1"/>
        <v>Blézat</v>
      </c>
      <c r="L4" t="str">
        <f ca="1"/>
        <v>Anatomie - Blézat</v>
      </c>
      <c r="M4" t="str">
        <f ca="1"/>
        <v>Rendement</v>
      </c>
      <c r="N4" t="str">
        <f ca="1"/>
        <v>Rendement en coproduits C1 de l'abattage-découpe de veaux = 5,63 % (Blézat)</v>
      </c>
      <c r="O4" t="str">
        <f ca="1"/>
        <v>Probable</v>
      </c>
      <c r="P4" t="str">
        <f ca="1"/>
        <v>Données collectées:Données déterminées</v>
      </c>
      <c r="Q4" t="str">
        <f ca="1"/>
        <v>Donnée collectée (valeur du flux ou coefficient)</v>
      </c>
    </row>
    <row r="5" spans="1:17">
      <c r="A5" t="str">
        <v>Abattage / découpe de veaux</v>
      </c>
      <c r="B5" t="str">
        <v>C2</v>
      </c>
      <c r="E5" t="str">
        <f ca="1"/>
        <v>kt</v>
      </c>
      <c r="F5" t="str">
        <f ca="1"/>
        <v>Viande bovine</v>
      </c>
      <c r="G5" t="str">
        <f ca="1"/>
        <v>2015:2019:2023</v>
      </c>
      <c r="H5" t="str">
        <f ca="1"/>
        <v>France entière</v>
      </c>
      <c r="I5" t="str">
        <f ca="1"/>
        <v>Rendement en coproduits C2 de l'abattage-découpe de veaux</v>
      </c>
      <c r="J5">
        <f ca="1"/>
        <v>0</v>
      </c>
      <c r="K5" t="str">
        <f ca="1"/>
        <v>Blézat</v>
      </c>
      <c r="L5" t="str">
        <f ca="1"/>
        <v>Anatomie - Blézat</v>
      </c>
      <c r="M5" t="str">
        <f ca="1"/>
        <v>Rendement</v>
      </c>
      <c r="N5" t="str">
        <f ca="1"/>
        <v>Rendement en coproduits C2 de l'abattage-découpe de veaux = 0 % (Blézat)</v>
      </c>
      <c r="O5" t="str">
        <f ca="1"/>
        <v>Probable</v>
      </c>
      <c r="P5" t="str">
        <f ca="1"/>
        <v>Données collectées:Données déterminées</v>
      </c>
      <c r="Q5" t="str">
        <f ca="1"/>
        <v>Donnée collectée (valeur du flux ou coefficient)</v>
      </c>
    </row>
    <row r="6" spans="1:17">
      <c r="A6" t="str">
        <v>Abattage / découpe de veaux</v>
      </c>
      <c r="B6" t="str">
        <v>C3 et alimentaire</v>
      </c>
      <c r="E6" t="str">
        <f ca="1"/>
        <v>kt</v>
      </c>
      <c r="F6" t="str">
        <f ca="1"/>
        <v>Viande bovine</v>
      </c>
      <c r="G6" t="str">
        <f ca="1"/>
        <v>2015:2019:2023</v>
      </c>
      <c r="H6" t="str">
        <f ca="1"/>
        <v>France entière</v>
      </c>
      <c r="I6" t="str">
        <f ca="1"/>
        <v>Rendement en coproduits C3 et alimentaire de l'abattage-découpe de veaux</v>
      </c>
      <c r="J6">
        <f ca="1"/>
        <v>0</v>
      </c>
      <c r="K6" t="str">
        <f ca="1"/>
        <v>Blézat</v>
      </c>
      <c r="L6" t="str">
        <f ca="1"/>
        <v>Anatomie - Blézat</v>
      </c>
      <c r="M6" t="str">
        <f ca="1"/>
        <v>Rendement</v>
      </c>
      <c r="N6" t="str">
        <f ca="1"/>
        <v>Rendement en coproduits C3 et alimentaire de l'abattage-découpe de veaux = 36,59 % (Blézat)</v>
      </c>
      <c r="O6" t="str">
        <f ca="1"/>
        <v>Probable</v>
      </c>
      <c r="P6" t="str">
        <f ca="1"/>
        <v>Données collectées:Données déterminées</v>
      </c>
      <c r="Q6" t="str">
        <f ca="1"/>
        <v>Donnée collectée (valeur du flux ou coefficient)</v>
      </c>
    </row>
    <row r="7" spans="1:17">
      <c r="A7" t="str">
        <v>Abattage / découpe de veaux</v>
      </c>
      <c r="B7" t="str">
        <v>Cuirs</v>
      </c>
      <c r="E7" t="str">
        <f ca="1"/>
        <v>kt</v>
      </c>
      <c r="F7" t="str">
        <f ca="1"/>
        <v>Viande bovine</v>
      </c>
      <c r="G7" t="str">
        <f ca="1"/>
        <v>2015:2019:2023</v>
      </c>
      <c r="H7" t="str">
        <f ca="1"/>
        <v>France entière</v>
      </c>
      <c r="I7" t="str">
        <f ca="1"/>
        <v>Rendement en cuirs de l'abattage-découpe de veaux</v>
      </c>
      <c r="J7">
        <f ca="1"/>
        <v>0</v>
      </c>
      <c r="K7" t="str">
        <f ca="1"/>
        <v>Blézat</v>
      </c>
      <c r="L7" t="str">
        <f ca="1"/>
        <v>Anatomie - Blézat</v>
      </c>
      <c r="M7" t="str">
        <f ca="1"/>
        <v>Rendement</v>
      </c>
      <c r="N7" t="str">
        <f ca="1"/>
        <v>Rendement en cuirs de l'abattage-découpe de veaux = 6,49 % (Blézat)</v>
      </c>
      <c r="O7" t="str">
        <f ca="1"/>
        <v>Probable</v>
      </c>
      <c r="P7" t="str">
        <f ca="1"/>
        <v>Données collectées:Données déterminées</v>
      </c>
      <c r="Q7" t="str">
        <f ca="1"/>
        <v>Donnée collectée (valeur du flux ou coefficient)</v>
      </c>
    </row>
    <row r="8" spans="1:17">
      <c r="A8" t="str">
        <v>Abattage / découpe de veaux</v>
      </c>
      <c r="B8" t="str">
        <v>Eau - ressuage</v>
      </c>
      <c r="E8" t="str">
        <f ca="1"/>
        <v>kt</v>
      </c>
      <c r="F8" t="str">
        <f ca="1"/>
        <v>Viande bovine</v>
      </c>
      <c r="G8" t="str">
        <f ca="1"/>
        <v>2015:2019:2023</v>
      </c>
      <c r="H8" t="str">
        <f ca="1"/>
        <v>France entière</v>
      </c>
      <c r="I8" t="str">
        <f ca="1"/>
        <v>Pertes en eau de l'abattage-découpe de veaux</v>
      </c>
      <c r="J8">
        <f ca="1"/>
        <v>0</v>
      </c>
      <c r="K8" t="str">
        <f ca="1"/>
        <v>Blézat</v>
      </c>
      <c r="L8" t="str">
        <f ca="1"/>
        <v>Anatomie - Blézat</v>
      </c>
      <c r="M8" t="str">
        <f ca="1"/>
        <v>Rendement</v>
      </c>
      <c r="N8" t="str">
        <f ca="1"/>
        <v>Pertes en eau de l'abattage-découpe de veaux = 1,17 % (Blézat)</v>
      </c>
      <c r="O8" t="str">
        <f ca="1"/>
        <v>Probable</v>
      </c>
      <c r="P8" t="str">
        <f ca="1"/>
        <v>Données collectées:Données déterminées</v>
      </c>
      <c r="Q8" t="str">
        <f ca="1"/>
        <v>Donnée collectée (valeur du flux ou coefficient)</v>
      </c>
    </row>
    <row r="9" spans="1:17">
      <c r="A9" t="str">
        <v>Abattage / découpe de gros bovins</v>
      </c>
      <c r="B9" t="str">
        <v>Viande de gros bovins</v>
      </c>
      <c r="E9" t="str">
        <f ca="1"/>
        <v>kt</v>
      </c>
      <c r="F9" t="str">
        <f ca="1"/>
        <v>Viande bovine</v>
      </c>
      <c r="G9" t="str">
        <f ca="1"/>
        <v>2015:2019:2023</v>
      </c>
      <c r="H9" t="str">
        <f ca="1"/>
        <v>France entière</v>
      </c>
      <c r="I9" t="str">
        <f ca="1"/>
        <v>Rendement en viande de l'abattage-découpe de gros bovins</v>
      </c>
      <c r="J9">
        <f ca="1"/>
        <v>0</v>
      </c>
      <c r="K9" t="str">
        <f ca="1"/>
        <v>Blézat</v>
      </c>
      <c r="L9" t="str">
        <f ca="1"/>
        <v>Anatomie - Blézat</v>
      </c>
      <c r="M9" t="str">
        <f ca="1"/>
        <v>Rendement</v>
      </c>
      <c r="N9" t="str">
        <f ca="1"/>
        <v>Rendement en viande de l'abattage-découpe de gros bovins = 38,36 % (Blézat)</v>
      </c>
      <c r="O9" t="str">
        <f ca="1"/>
        <v>Probable</v>
      </c>
      <c r="P9" t="str">
        <f ca="1"/>
        <v>Données collectées:Données déterminées</v>
      </c>
      <c r="Q9" t="str">
        <f ca="1"/>
        <v>Donnée collectée (valeur du flux ou coefficient)</v>
      </c>
    </row>
    <row r="10" spans="1:17">
      <c r="A10" t="str">
        <v>Abattage / découpe de gros bovins</v>
      </c>
      <c r="B10" t="str">
        <v>Abats</v>
      </c>
      <c r="E10" t="str">
        <f ca="1"/>
        <v>kt</v>
      </c>
      <c r="F10" t="str">
        <f ca="1"/>
        <v>Viande bovine</v>
      </c>
      <c r="G10" t="str">
        <f ca="1"/>
        <v>2015:2019:2023</v>
      </c>
      <c r="H10" t="str">
        <f ca="1"/>
        <v>France entière</v>
      </c>
      <c r="I10" t="str">
        <f ca="1"/>
        <v>Rendement en abats de l'abattage-découpe de gros bovins</v>
      </c>
      <c r="J10">
        <f ca="1"/>
        <v>0</v>
      </c>
      <c r="K10" t="str">
        <f ca="1"/>
        <v>Blézat</v>
      </c>
      <c r="L10" t="str">
        <f ca="1"/>
        <v>Anatomie - Blézat</v>
      </c>
      <c r="M10" t="str">
        <f ca="1"/>
        <v>Rendement</v>
      </c>
      <c r="N10" t="str">
        <f ca="1"/>
        <v>Rendement en abats de l'abattage-découpe de gros bovins = 7,18 % (Blézat)</v>
      </c>
      <c r="O10" t="str">
        <f ca="1"/>
        <v>Probable</v>
      </c>
      <c r="P10" t="str">
        <f ca="1"/>
        <v>Données collectées:Données déterminées</v>
      </c>
      <c r="Q10" t="str">
        <f ca="1"/>
        <v>Donnée collectée (valeur du flux ou coefficient)</v>
      </c>
    </row>
    <row r="11" spans="1:17">
      <c r="A11" t="str">
        <v>Abattage / découpe de gros bovins</v>
      </c>
      <c r="B11" t="str">
        <v>C1</v>
      </c>
      <c r="E11" t="str">
        <f ca="1"/>
        <v>kt</v>
      </c>
      <c r="F11" t="str">
        <f ca="1"/>
        <v>Viande bovine</v>
      </c>
      <c r="G11" t="str">
        <f ca="1"/>
        <v>2015:2019:2023</v>
      </c>
      <c r="H11" t="str">
        <f ca="1"/>
        <v>France entière</v>
      </c>
      <c r="I11" t="str">
        <f ca="1"/>
        <v>Rendement en coproduits C1 de l'abattage-découpe de gros bovins</v>
      </c>
      <c r="J11">
        <f ca="1"/>
        <v>0</v>
      </c>
      <c r="K11" t="str">
        <f ca="1"/>
        <v>Blézat</v>
      </c>
      <c r="L11" t="str">
        <f ca="1"/>
        <v>Anatomie - Blézat</v>
      </c>
      <c r="M11" t="str">
        <f ca="1"/>
        <v>Rendement</v>
      </c>
      <c r="N11" t="str">
        <f ca="1"/>
        <v>Rendement en coproduits C1 de l'abattage-découpe de gros bovins = 5,1 % (Blézat)</v>
      </c>
      <c r="O11" t="str">
        <f ca="1"/>
        <v>Probable</v>
      </c>
      <c r="P11" t="str">
        <f ca="1"/>
        <v>Données collectées:Données déterminées</v>
      </c>
      <c r="Q11" t="str">
        <f ca="1"/>
        <v>Donnée collectée (valeur du flux ou coefficient)</v>
      </c>
    </row>
    <row r="12" spans="1:17">
      <c r="A12" t="str">
        <v>Abattage / découpe de gros bovins</v>
      </c>
      <c r="B12" t="str">
        <v>C2</v>
      </c>
      <c r="E12" t="str">
        <f ca="1"/>
        <v>kt</v>
      </c>
      <c r="F12" t="str">
        <f ca="1"/>
        <v>Viande bovine</v>
      </c>
      <c r="G12" t="str">
        <f ca="1"/>
        <v>2015:2019:2023</v>
      </c>
      <c r="H12" t="str">
        <f ca="1"/>
        <v>France entière</v>
      </c>
      <c r="I12" t="str">
        <f ca="1"/>
        <v>Rendement en coproduits C2 de l'abattage-découpe de gros bovins</v>
      </c>
      <c r="J12">
        <f ca="1"/>
        <v>0</v>
      </c>
      <c r="K12" t="str">
        <f ca="1"/>
        <v>Blézat</v>
      </c>
      <c r="L12" t="str">
        <f ca="1"/>
        <v>Anatomie - Blézat</v>
      </c>
      <c r="M12" t="str">
        <f ca="1"/>
        <v>Rendement</v>
      </c>
      <c r="N12" t="str">
        <f ca="1"/>
        <v>Rendement en coproduits C2 de l'abattage-découpe de gros bovins = 10,03 % (Blézat)</v>
      </c>
      <c r="O12" t="str">
        <f ca="1"/>
        <v>Probable</v>
      </c>
      <c r="P12" t="str">
        <f ca="1"/>
        <v>Données collectées:Données déterminées</v>
      </c>
      <c r="Q12" t="str">
        <f ca="1"/>
        <v>Donnée collectée (valeur du flux ou coefficient)</v>
      </c>
    </row>
    <row r="13" spans="1:17">
      <c r="A13" t="str">
        <v>Abattage / découpe de gros bovins</v>
      </c>
      <c r="B13" t="str">
        <v>C3 et alimentaire</v>
      </c>
      <c r="E13" t="str">
        <f ca="1"/>
        <v>kt</v>
      </c>
      <c r="F13" t="str">
        <f ca="1"/>
        <v>Viande bovine</v>
      </c>
      <c r="G13" t="str">
        <f ca="1"/>
        <v>2015:2019:2023</v>
      </c>
      <c r="H13" t="str">
        <f ca="1"/>
        <v>France entière</v>
      </c>
      <c r="I13" t="str">
        <f ca="1"/>
        <v>Rendement en coproduits C3 et alimentaire de l'abattage-découpe de gros bovins</v>
      </c>
      <c r="J13">
        <f ca="1"/>
        <v>0</v>
      </c>
      <c r="K13" t="str">
        <f ca="1"/>
        <v>Blézat</v>
      </c>
      <c r="L13" t="str">
        <f ca="1"/>
        <v>Anatomie - Blézat</v>
      </c>
      <c r="M13" t="str">
        <f ca="1"/>
        <v>Rendement</v>
      </c>
      <c r="N13" t="str">
        <f ca="1"/>
        <v>Rendement en coproduits C3 et alimentaire de l'abattage-découpe de gros bovins = 32,49 % (Blézat)</v>
      </c>
      <c r="O13" t="str">
        <f ca="1"/>
        <v>Probable</v>
      </c>
      <c r="P13" t="str">
        <f ca="1"/>
        <v>Données collectées:Données déterminées</v>
      </c>
      <c r="Q13" t="str">
        <f ca="1"/>
        <v>Donnée collectée (valeur du flux ou coefficient)</v>
      </c>
    </row>
    <row r="14" spans="1:17">
      <c r="A14" t="str">
        <v>Abattage / découpe de gros bovins</v>
      </c>
      <c r="B14" t="str">
        <v>Cuirs</v>
      </c>
      <c r="E14" t="str">
        <f ca="1"/>
        <v>kt</v>
      </c>
      <c r="F14" t="str">
        <f ca="1"/>
        <v>Viande bovine</v>
      </c>
      <c r="G14" t="str">
        <f ca="1"/>
        <v>2015:2019:2023</v>
      </c>
      <c r="H14" t="str">
        <f ca="1"/>
        <v>France entière</v>
      </c>
      <c r="I14" t="str">
        <f ca="1"/>
        <v>Rendement en cuirs de l'abattage-découpe de gros bovins</v>
      </c>
      <c r="J14">
        <f ca="1"/>
        <v>0</v>
      </c>
      <c r="K14" t="str">
        <f ca="1"/>
        <v>Blézat</v>
      </c>
      <c r="L14" t="str">
        <f ca="1"/>
        <v>Anatomie - Blézat</v>
      </c>
      <c r="M14" t="str">
        <f ca="1"/>
        <v>Rendement</v>
      </c>
      <c r="N14" t="str">
        <f ca="1"/>
        <v>Rendement en cuirs de l'abattage-découpe de gros bovins = 5,58 % (Blézat)</v>
      </c>
      <c r="O14" t="str">
        <f ca="1"/>
        <v>Probable</v>
      </c>
      <c r="P14" t="str">
        <f ca="1"/>
        <v>Données collectées:Données déterminées</v>
      </c>
      <c r="Q14" t="str">
        <f ca="1"/>
        <v>Donnée collectée (valeur du flux ou coefficient)</v>
      </c>
    </row>
    <row r="15" spans="1:17">
      <c r="A15" t="str">
        <v>Abattage / découpe de gros bovins</v>
      </c>
      <c r="B15" t="str">
        <v>Eau - ressuage</v>
      </c>
      <c r="E15" t="str">
        <f ca="1"/>
        <v>kt</v>
      </c>
      <c r="F15" t="str">
        <f ca="1"/>
        <v>Viande bovine</v>
      </c>
      <c r="G15" t="str">
        <f ca="1"/>
        <v>2015:2019:2023</v>
      </c>
      <c r="H15" t="str">
        <f ca="1"/>
        <v>France entière</v>
      </c>
      <c r="I15" t="str">
        <f ca="1"/>
        <v>Pertes en eau de l'abattage-découpe de gros bovins</v>
      </c>
      <c r="J15">
        <f ca="1"/>
        <v>0</v>
      </c>
      <c r="K15" t="str">
        <f ca="1"/>
        <v>Blézat</v>
      </c>
      <c r="L15" t="str">
        <f ca="1"/>
        <v>Anatomie - Blézat</v>
      </c>
      <c r="M15" t="str">
        <f ca="1"/>
        <v>Rendement</v>
      </c>
      <c r="N15" t="str">
        <f ca="1"/>
        <v>Pertes en eau de l'abattage-découpe de gros bovins = 1,25 % (Blézat)</v>
      </c>
      <c r="O15" t="str">
        <f ca="1"/>
        <v>Probable</v>
      </c>
      <c r="P15" t="str">
        <f ca="1"/>
        <v>Données collectées:Données déterminées</v>
      </c>
      <c r="Q15" t="str">
        <f ca="1"/>
        <v>Donnée collectée (valeur du flux ou coefficient)</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4DE6D-7492-4A55-9EBD-D82F359636FF}">
  <sheetPr>
    <tabColor rgb="FFFFC000"/>
  </sheetPr>
  <dimension ref="A1:H77"/>
  <sheetViews>
    <sheetView zoomScaleNormal="100" workbookViewId="0">
      <selection activeCell="D16" sqref="D16"/>
    </sheetView>
  </sheetViews>
  <sheetFormatPr baseColWidth="10" defaultRowHeight="14.4"/>
  <cols>
    <col min="1" max="5" width="11.5546875" style="58"/>
    <col min="6" max="6" width="12.21875" style="58" bestFit="1" customWidth="1"/>
    <col min="7" max="7" width="11.77734375" style="58" bestFit="1" customWidth="1"/>
    <col min="8" max="8" width="12.109375" style="58" customWidth="1"/>
    <col min="9" max="16384" width="11.5546875" style="58"/>
  </cols>
  <sheetData>
    <row r="1" spans="1:8">
      <c r="A1" s="57" t="s">
        <v>184</v>
      </c>
    </row>
    <row r="2" spans="1:8">
      <c r="H2" s="58" t="s">
        <v>185</v>
      </c>
    </row>
    <row r="3" spans="1:8">
      <c r="A3" s="59" t="s">
        <v>186</v>
      </c>
      <c r="H3" s="58" t="s">
        <v>187</v>
      </c>
    </row>
    <row r="5" spans="1:8">
      <c r="B5" s="57" t="s">
        <v>7</v>
      </c>
      <c r="C5" s="58" t="s">
        <v>188</v>
      </c>
      <c r="D5" s="58" t="s">
        <v>189</v>
      </c>
      <c r="E5" s="58" t="s">
        <v>190</v>
      </c>
      <c r="F5" s="115" t="s">
        <v>553</v>
      </c>
      <c r="G5" s="115" t="s">
        <v>554</v>
      </c>
      <c r="H5" s="58" t="s">
        <v>191</v>
      </c>
    </row>
    <row r="6" spans="1:8">
      <c r="B6" s="58" t="s">
        <v>192</v>
      </c>
      <c r="C6" s="58">
        <v>670</v>
      </c>
      <c r="D6" s="60">
        <f>C6/$C$6</f>
        <v>1</v>
      </c>
      <c r="E6" s="60">
        <f t="shared" ref="E6:E10" si="0">C6/$C$7</f>
        <v>1.8108108108108107</v>
      </c>
      <c r="F6" s="61">
        <f>E6*'Abattages - AGRESTE'!$G$7</f>
        <v>2309694.6216216213</v>
      </c>
      <c r="G6" s="61">
        <f>E6*'Abattages - AGRESTE'!$H$7</f>
        <v>2260480.4054054054</v>
      </c>
      <c r="H6" s="61">
        <f>E6*'Abattages - AGRESTE'!$I$7</f>
        <v>2084866.1621621621</v>
      </c>
    </row>
    <row r="7" spans="1:8">
      <c r="B7" s="59" t="s">
        <v>193</v>
      </c>
      <c r="C7" s="59">
        <v>370</v>
      </c>
      <c r="D7" s="80">
        <f>C7/$C$6</f>
        <v>0.55223880597014929</v>
      </c>
      <c r="E7" s="74">
        <f t="shared" si="0"/>
        <v>1</v>
      </c>
      <c r="F7" s="75">
        <f>E7*'Abattages - AGRESTE'!$G$7</f>
        <v>1275503</v>
      </c>
      <c r="G7" s="75">
        <f>E7*'Abattages - AGRESTE'!$H$7</f>
        <v>1248325</v>
      </c>
      <c r="H7" s="75">
        <f>E7*'Abattages - AGRESTE'!$I$7</f>
        <v>1151344</v>
      </c>
    </row>
    <row r="8" spans="1:8">
      <c r="B8" s="58" t="s">
        <v>60</v>
      </c>
      <c r="C8" s="58">
        <v>257</v>
      </c>
      <c r="D8" s="81">
        <f>C8/$C$6</f>
        <v>0.38358208955223883</v>
      </c>
      <c r="E8" s="60">
        <f t="shared" si="0"/>
        <v>0.69459459459459461</v>
      </c>
      <c r="F8" s="61">
        <f>E8*'Abattages - AGRESTE'!$G$7</f>
        <v>885957.48918918916</v>
      </c>
      <c r="G8" s="61">
        <f>E8*'Abattages - AGRESTE'!$H$7</f>
        <v>867079.79729729728</v>
      </c>
      <c r="H8" s="61">
        <f>E8*'Abattages - AGRESTE'!$I$7</f>
        <v>799717.31891891896</v>
      </c>
    </row>
    <row r="9" spans="1:8">
      <c r="B9" s="58" t="s">
        <v>61</v>
      </c>
      <c r="C9" s="58">
        <f>43.3+4.8</f>
        <v>48.099999999999994</v>
      </c>
      <c r="D9" s="81">
        <f t="shared" ref="D9:D14" si="1">C9/$C$6</f>
        <v>7.1791044776119389E-2</v>
      </c>
      <c r="E9" s="60">
        <f t="shared" si="0"/>
        <v>0.12999999999999998</v>
      </c>
      <c r="F9" s="61">
        <f>E9*'Abattages - AGRESTE'!$G$7</f>
        <v>165815.38999999996</v>
      </c>
      <c r="G9" s="61">
        <f>E9*'Abattages - AGRESTE'!$H$7</f>
        <v>162282.24999999997</v>
      </c>
      <c r="H9" s="61">
        <f>E9*'Abattages - AGRESTE'!$I$7</f>
        <v>149674.71999999997</v>
      </c>
    </row>
    <row r="10" spans="1:8">
      <c r="B10" s="58" t="s">
        <v>62</v>
      </c>
      <c r="C10" s="58">
        <f>C6-(C9+C14+C15+C8)</f>
        <v>319.10000000000002</v>
      </c>
      <c r="D10" s="60">
        <f>C10/$C$6</f>
        <v>0.47626865671641794</v>
      </c>
      <c r="E10" s="60">
        <f t="shared" si="0"/>
        <v>0.86243243243243251</v>
      </c>
      <c r="F10" s="61">
        <f>E10*'Abattages - AGRESTE'!$G$7</f>
        <v>1100035.1548648649</v>
      </c>
      <c r="G10" s="61">
        <f>E10*'Abattages - AGRESTE'!$H$7</f>
        <v>1076595.9662162163</v>
      </c>
      <c r="H10" s="61">
        <f>E10*'Abattages - AGRESTE'!$I$7</f>
        <v>992956.40648648655</v>
      </c>
    </row>
    <row r="11" spans="1:8">
      <c r="B11" s="62" t="s">
        <v>194</v>
      </c>
      <c r="C11" s="58">
        <f>26.2+1+7</f>
        <v>34.200000000000003</v>
      </c>
      <c r="D11" s="81">
        <f t="shared" ref="D11:D13" si="2">C11/$C$6</f>
        <v>5.1044776119402988E-2</v>
      </c>
      <c r="E11" s="60">
        <f>C11/$C$7</f>
        <v>9.2432432432432446E-2</v>
      </c>
      <c r="F11" s="61">
        <f>E11*'Abattages - AGRESTE'!$G$7</f>
        <v>117897.84486486488</v>
      </c>
      <c r="G11" s="61">
        <f>E11*'Abattages - AGRESTE'!$H$7</f>
        <v>115385.71621621623</v>
      </c>
      <c r="H11" s="61">
        <f>E11*'Abattages - AGRESTE'!$I$7</f>
        <v>106421.5264864865</v>
      </c>
    </row>
    <row r="12" spans="1:8">
      <c r="B12" s="62" t="s">
        <v>195</v>
      </c>
      <c r="C12" s="58">
        <v>67.2</v>
      </c>
      <c r="D12" s="81">
        <f t="shared" si="2"/>
        <v>0.10029850746268656</v>
      </c>
      <c r="E12" s="60">
        <f t="shared" ref="E12" si="3">C12/$C$7</f>
        <v>0.18162162162162163</v>
      </c>
      <c r="F12" s="61">
        <f>E12*'Abattages - AGRESTE'!$G$7</f>
        <v>231658.92324324325</v>
      </c>
      <c r="G12" s="61">
        <f>E12*'Abattages - AGRESTE'!$H$7</f>
        <v>226722.81081081083</v>
      </c>
      <c r="H12" s="61">
        <f>E12*'Abattages - AGRESTE'!$I$7</f>
        <v>209108.96432432433</v>
      </c>
    </row>
    <row r="13" spans="1:8">
      <c r="B13" s="62" t="s">
        <v>196</v>
      </c>
      <c r="C13" s="58">
        <f>C10-(C11+C12)</f>
        <v>217.70000000000002</v>
      </c>
      <c r="D13" s="81">
        <f t="shared" si="2"/>
        <v>0.3249253731343284</v>
      </c>
      <c r="E13" s="60">
        <f>C13/$C$7</f>
        <v>0.58837837837837847</v>
      </c>
      <c r="F13" s="61">
        <f>E13*'Abattages - AGRESTE'!$G$7</f>
        <v>750478.38675675693</v>
      </c>
      <c r="G13" s="61">
        <f>E13*'Abattages - AGRESTE'!$H$7</f>
        <v>734487.43918918935</v>
      </c>
      <c r="H13" s="61">
        <f>E13*'Abattages - AGRESTE'!$I$7</f>
        <v>677425.91567567573</v>
      </c>
    </row>
    <row r="14" spans="1:8">
      <c r="B14" s="58" t="s">
        <v>66</v>
      </c>
      <c r="C14" s="58">
        <v>37.4</v>
      </c>
      <c r="D14" s="81">
        <f t="shared" si="1"/>
        <v>5.5820895522388059E-2</v>
      </c>
      <c r="E14" s="60">
        <f t="shared" ref="E14:E15" si="4">C14/$C$7</f>
        <v>0.10108108108108108</v>
      </c>
      <c r="F14" s="61">
        <f>E14*'Abattages - AGRESTE'!$G$7</f>
        <v>128929.22216216216</v>
      </c>
      <c r="G14" s="61">
        <f>E14*'Abattages - AGRESTE'!$H$7</f>
        <v>126182.04054054053</v>
      </c>
      <c r="H14" s="61">
        <f>E14*'Abattages - AGRESTE'!$I$7</f>
        <v>116379.0962162162</v>
      </c>
    </row>
    <row r="15" spans="1:8">
      <c r="B15" s="58" t="s">
        <v>67</v>
      </c>
      <c r="C15" s="58">
        <v>8.4</v>
      </c>
      <c r="D15" s="81">
        <f>C15/$C$6</f>
        <v>1.2537313432835821E-2</v>
      </c>
      <c r="E15" s="60">
        <f t="shared" si="4"/>
        <v>2.2702702702702703E-2</v>
      </c>
      <c r="F15" s="61">
        <f>E15*'Abattages - AGRESTE'!$G$7</f>
        <v>28957.365405405406</v>
      </c>
      <c r="G15" s="61">
        <f>E15*'Abattages - AGRESTE'!$H$7</f>
        <v>28340.351351351354</v>
      </c>
      <c r="H15" s="61">
        <f>E15*'Abattages - AGRESTE'!$I$7</f>
        <v>26138.620540540542</v>
      </c>
    </row>
    <row r="16" spans="1:8">
      <c r="D16" s="63"/>
    </row>
    <row r="18" spans="2:8">
      <c r="B18" s="57" t="s">
        <v>58</v>
      </c>
      <c r="C18" s="58" t="s">
        <v>188</v>
      </c>
      <c r="D18" s="58" t="s">
        <v>189</v>
      </c>
      <c r="E18" s="58" t="s">
        <v>190</v>
      </c>
      <c r="F18" s="115" t="s">
        <v>553</v>
      </c>
      <c r="G18" s="115" t="s">
        <v>554</v>
      </c>
      <c r="H18" s="58" t="s">
        <v>191</v>
      </c>
    </row>
    <row r="19" spans="2:8">
      <c r="B19" s="58" t="s">
        <v>192</v>
      </c>
      <c r="C19" s="58">
        <v>231</v>
      </c>
      <c r="D19" s="60">
        <f t="shared" ref="D19:D28" si="5">C19/$C$19</f>
        <v>1</v>
      </c>
      <c r="E19" s="60">
        <f>C19/$C$20</f>
        <v>1.7238805970149254</v>
      </c>
      <c r="F19" s="61">
        <f>E19*'Abattages - AGRESTE'!$G$4</f>
        <v>308853.89552238805</v>
      </c>
      <c r="G19" s="61">
        <f>E19*'Abattages - AGRESTE'!$H$4</f>
        <v>312158.57462686568</v>
      </c>
      <c r="H19" s="61">
        <f>E19*'Abattages - AGRESTE'!$I$4</f>
        <v>257497.76865671642</v>
      </c>
    </row>
    <row r="20" spans="2:8">
      <c r="B20" s="59" t="s">
        <v>193</v>
      </c>
      <c r="C20" s="59">
        <v>134</v>
      </c>
      <c r="D20" s="82">
        <f t="shared" si="5"/>
        <v>0.58008658008658009</v>
      </c>
      <c r="E20" s="74">
        <f t="shared" ref="E20:E23" si="6">C20/$C$20</f>
        <v>1</v>
      </c>
      <c r="F20" s="75">
        <f>E20*'Abattages - AGRESTE'!$G$4</f>
        <v>179162</v>
      </c>
      <c r="G20" s="75">
        <f>E20*'Abattages - AGRESTE'!$H$4</f>
        <v>181079</v>
      </c>
      <c r="H20" s="75">
        <f>E20*'Abattages - AGRESTE'!$I$4</f>
        <v>149371</v>
      </c>
    </row>
    <row r="21" spans="2:8">
      <c r="B21" s="58" t="s">
        <v>60</v>
      </c>
      <c r="C21" s="58">
        <v>93.8</v>
      </c>
      <c r="D21" s="81">
        <f t="shared" si="5"/>
        <v>0.40606060606060607</v>
      </c>
      <c r="E21" s="60">
        <f t="shared" si="6"/>
        <v>0.7</v>
      </c>
      <c r="F21" s="61">
        <f>E21*'Abattages - AGRESTE'!$G$4</f>
        <v>125413.4</v>
      </c>
      <c r="G21" s="61">
        <f>E21*'Abattages - AGRESTE'!$H$4</f>
        <v>126755.29999999999</v>
      </c>
      <c r="H21" s="61">
        <f>E21*'Abattages - AGRESTE'!$I$4</f>
        <v>104559.7</v>
      </c>
    </row>
    <row r="22" spans="2:8">
      <c r="B22" s="58" t="s">
        <v>61</v>
      </c>
      <c r="C22" s="64">
        <f>3.2+8+1.75+8.9-2.3+2+0.42</f>
        <v>21.970000000000002</v>
      </c>
      <c r="D22" s="81">
        <f t="shared" si="5"/>
        <v>9.5108225108225114E-2</v>
      </c>
      <c r="E22" s="60">
        <f t="shared" si="6"/>
        <v>0.16395522388059702</v>
      </c>
      <c r="F22" s="61">
        <f>E22*'Abattages - AGRESTE'!$G$4</f>
        <v>29374.545820895524</v>
      </c>
      <c r="G22" s="61">
        <f>E22*'Abattages - AGRESTE'!$H$4</f>
        <v>29688.84798507463</v>
      </c>
      <c r="H22" s="61">
        <f>E22*'Abattages - AGRESTE'!$I$4</f>
        <v>24490.155746268658</v>
      </c>
    </row>
    <row r="23" spans="2:8">
      <c r="B23" s="59" t="s">
        <v>62</v>
      </c>
      <c r="C23" s="73">
        <f>C19-C21-C22-C27-C28</f>
        <v>97.529999999999987</v>
      </c>
      <c r="D23" s="74">
        <f t="shared" si="5"/>
        <v>0.42220779220779214</v>
      </c>
      <c r="E23" s="74">
        <f t="shared" si="6"/>
        <v>0.72783582089552235</v>
      </c>
      <c r="F23" s="61">
        <f>E23*'Abattages - AGRESTE'!$G$4</f>
        <v>130400.52134328357</v>
      </c>
      <c r="G23" s="61">
        <f>E23*'Abattages - AGRESTE'!$H$4</f>
        <v>131795.78261194029</v>
      </c>
      <c r="H23" s="61">
        <f>E23*'Abattages - AGRESTE'!$I$4</f>
        <v>108717.56440298507</v>
      </c>
    </row>
    <row r="24" spans="2:8">
      <c r="B24" s="62" t="s">
        <v>194</v>
      </c>
      <c r="C24" s="58">
        <v>13</v>
      </c>
      <c r="D24" s="81">
        <f t="shared" si="5"/>
        <v>5.627705627705628E-2</v>
      </c>
      <c r="E24" s="60">
        <f>C24/$C$20</f>
        <v>9.7014925373134331E-2</v>
      </c>
      <c r="F24" s="61">
        <f>E24*'Abattages - AGRESTE'!$G$4</f>
        <v>17381.388059701494</v>
      </c>
      <c r="G24" s="61">
        <f>E24*'Abattages - AGRESTE'!$H$4</f>
        <v>17567.36567164179</v>
      </c>
      <c r="H24" s="61">
        <f>E24*'Abattages - AGRESTE'!$I$4</f>
        <v>14491.216417910447</v>
      </c>
    </row>
    <row r="25" spans="2:8">
      <c r="B25" s="62" t="s">
        <v>195</v>
      </c>
      <c r="C25" s="58">
        <v>0</v>
      </c>
      <c r="D25" s="81">
        <f t="shared" si="5"/>
        <v>0</v>
      </c>
      <c r="E25" s="60">
        <f t="shared" ref="E25" si="7">C25/$C$20</f>
        <v>0</v>
      </c>
      <c r="F25" s="61">
        <f>E25*'Abattages - AGRESTE'!$G$4</f>
        <v>0</v>
      </c>
      <c r="G25" s="61">
        <f>E25*'Abattages - AGRESTE'!$H$4</f>
        <v>0</v>
      </c>
      <c r="H25" s="61">
        <f>E25*'Abattages - AGRESTE'!$I$4</f>
        <v>0</v>
      </c>
    </row>
    <row r="26" spans="2:8">
      <c r="B26" s="62" t="s">
        <v>196</v>
      </c>
      <c r="C26" s="64">
        <f>C23-C24</f>
        <v>84.529999999999987</v>
      </c>
      <c r="D26" s="81">
        <f t="shared" si="5"/>
        <v>0.36593073593073588</v>
      </c>
      <c r="E26" s="60">
        <f>C26/$C$20</f>
        <v>0.63082089552238796</v>
      </c>
      <c r="F26" s="61">
        <f>E26*'Abattages - AGRESTE'!$G$4</f>
        <v>113019.13328358206</v>
      </c>
      <c r="G26" s="61">
        <f>E26*'Abattages - AGRESTE'!$H$4</f>
        <v>114228.41694029848</v>
      </c>
      <c r="H26" s="61">
        <f>E26*'Abattages - AGRESTE'!$I$4</f>
        <v>94226.347985074608</v>
      </c>
    </row>
    <row r="27" spans="2:8">
      <c r="B27" s="58" t="s">
        <v>66</v>
      </c>
      <c r="C27" s="58">
        <v>15</v>
      </c>
      <c r="D27" s="81">
        <f t="shared" si="5"/>
        <v>6.4935064935064929E-2</v>
      </c>
      <c r="E27" s="60">
        <f t="shared" ref="E27:E28" si="8">C27/$C$20</f>
        <v>0.11194029850746269</v>
      </c>
      <c r="F27" s="61">
        <f>E27*'Abattages - AGRESTE'!$G$4</f>
        <v>20055.447761194031</v>
      </c>
      <c r="G27" s="61">
        <f>E27*'Abattages - AGRESTE'!$H$4</f>
        <v>20270.037313432837</v>
      </c>
      <c r="H27" s="61">
        <f>E27*'Abattages - AGRESTE'!$I$4</f>
        <v>16720.63432835821</v>
      </c>
    </row>
    <row r="28" spans="2:8">
      <c r="B28" s="58" t="s">
        <v>67</v>
      </c>
      <c r="C28" s="58">
        <v>2.7</v>
      </c>
      <c r="D28" s="81">
        <f t="shared" si="5"/>
        <v>1.1688311688311689E-2</v>
      </c>
      <c r="E28" s="60">
        <f t="shared" si="8"/>
        <v>2.0149253731343283E-2</v>
      </c>
      <c r="F28" s="61">
        <f>E28*'Abattages - AGRESTE'!$G$4</f>
        <v>3609.9805970149255</v>
      </c>
      <c r="G28" s="61">
        <f>E28*'Abattages - AGRESTE'!$H$4</f>
        <v>3648.6067164179103</v>
      </c>
      <c r="H28" s="61">
        <f>E28*'Abattages - AGRESTE'!$I$4</f>
        <v>3009.7141791044778</v>
      </c>
    </row>
    <row r="29" spans="2:8">
      <c r="C29" s="64"/>
      <c r="D29" s="63"/>
    </row>
    <row r="31" spans="2:8">
      <c r="B31" s="57" t="s">
        <v>197</v>
      </c>
      <c r="C31" s="58" t="s">
        <v>188</v>
      </c>
      <c r="D31" s="58" t="s">
        <v>189</v>
      </c>
      <c r="E31" s="58" t="s">
        <v>190</v>
      </c>
      <c r="F31" s="115" t="s">
        <v>553</v>
      </c>
      <c r="G31" s="115" t="s">
        <v>554</v>
      </c>
      <c r="H31" s="58" t="s">
        <v>191</v>
      </c>
    </row>
    <row r="32" spans="2:8">
      <c r="B32" s="58" t="s">
        <v>192</v>
      </c>
      <c r="C32" s="58">
        <v>115</v>
      </c>
      <c r="D32" s="60">
        <f>C32/$C$32</f>
        <v>1</v>
      </c>
      <c r="E32" s="60">
        <f t="shared" ref="E32:E40" si="9">C32/$C$33</f>
        <v>1.2921348314606742</v>
      </c>
      <c r="F32" s="61">
        <f>E32*'Abattages - AGRESTE'!$G$25</f>
        <v>2820645.0561797754</v>
      </c>
      <c r="G32" s="61">
        <f>E32*'Abattages - AGRESTE'!$H$25</f>
        <v>2845208.5393258426</v>
      </c>
      <c r="H32" s="61">
        <f>E32*'Abattages - AGRESTE'!$I$25</f>
        <v>2668146.0112359552</v>
      </c>
    </row>
    <row r="33" spans="2:8">
      <c r="B33" s="59" t="s">
        <v>193</v>
      </c>
      <c r="C33" s="59">
        <v>89</v>
      </c>
      <c r="D33" s="74">
        <f t="shared" ref="D33:D40" si="10">C33/$C$32</f>
        <v>0.77391304347826084</v>
      </c>
      <c r="E33" s="74">
        <f t="shared" si="9"/>
        <v>1</v>
      </c>
      <c r="F33" s="75">
        <f>E33*'Abattages - AGRESTE'!$G$25</f>
        <v>2182934</v>
      </c>
      <c r="G33" s="75">
        <f>E33*'Abattages - AGRESTE'!$H$25</f>
        <v>2201944</v>
      </c>
      <c r="H33" s="75">
        <f>E33*'Abattages - AGRESTE'!$I$25</f>
        <v>2064913</v>
      </c>
    </row>
    <row r="34" spans="2:8">
      <c r="B34" s="58" t="s">
        <v>60</v>
      </c>
      <c r="C34" s="58">
        <v>68</v>
      </c>
      <c r="D34" s="60">
        <f t="shared" si="10"/>
        <v>0.59130434782608698</v>
      </c>
      <c r="E34" s="60">
        <f t="shared" si="9"/>
        <v>0.7640449438202247</v>
      </c>
      <c r="F34" s="61">
        <f>E34*'Abattages - AGRESTE'!$G$25</f>
        <v>1667859.6853932585</v>
      </c>
      <c r="G34" s="61">
        <f>E34*'Abattages - AGRESTE'!$H$25</f>
        <v>1682384.1797752809</v>
      </c>
      <c r="H34" s="61">
        <f>E34*'Abattages - AGRESTE'!$I$25</f>
        <v>1577686.3370786516</v>
      </c>
    </row>
    <row r="35" spans="2:8">
      <c r="B35" s="58" t="s">
        <v>61</v>
      </c>
      <c r="C35" s="58">
        <f>0.5+2.4+1.5+0.6+0.35+0.5+0.35+0.31+3+5-0.1</f>
        <v>14.409999999999998</v>
      </c>
      <c r="D35" s="60">
        <f t="shared" si="10"/>
        <v>0.12530434782608693</v>
      </c>
      <c r="E35" s="60">
        <f t="shared" si="9"/>
        <v>0.16191011235955055</v>
      </c>
      <c r="F35" s="61">
        <f>E35*'Abattages - AGRESTE'!$G$25</f>
        <v>353439.08921348309</v>
      </c>
      <c r="G35" s="61">
        <f>E35*'Abattages - AGRESTE'!$H$25</f>
        <v>356517.00044943817</v>
      </c>
      <c r="H35" s="61">
        <f>E35*'Abattages - AGRESTE'!$I$25</f>
        <v>334330.29584269662</v>
      </c>
    </row>
    <row r="36" spans="2:8">
      <c r="B36" s="58" t="s">
        <v>62</v>
      </c>
      <c r="C36" s="58">
        <f>C32-(C35+C40+C34)</f>
        <v>30.790000000000006</v>
      </c>
      <c r="D36" s="60">
        <f t="shared" si="10"/>
        <v>0.26773913043478265</v>
      </c>
      <c r="E36" s="60">
        <f t="shared" si="9"/>
        <v>0.34595505617977534</v>
      </c>
      <c r="F36" s="61">
        <f>E36*'Abattages - AGRESTE'!$G$25</f>
        <v>755197.05460674176</v>
      </c>
      <c r="G36" s="61">
        <f>E36*'Abattages - AGRESTE'!$H$25</f>
        <v>761773.66022471921</v>
      </c>
      <c r="H36" s="61">
        <f>E36*'Abattages - AGRESTE'!$I$25</f>
        <v>714367.09292134841</v>
      </c>
    </row>
    <row r="37" spans="2:8">
      <c r="B37" s="62" t="s">
        <v>194</v>
      </c>
      <c r="C37" s="58">
        <v>0</v>
      </c>
      <c r="D37" s="60">
        <f t="shared" si="10"/>
        <v>0</v>
      </c>
      <c r="E37" s="60">
        <f>C37/$C$33</f>
        <v>0</v>
      </c>
      <c r="F37" s="61">
        <f>E37*'Abattages - AGRESTE'!$G$25</f>
        <v>0</v>
      </c>
      <c r="G37" s="61">
        <f>E37*'Abattages - AGRESTE'!$H$25</f>
        <v>0</v>
      </c>
      <c r="H37" s="61">
        <f>E37*'Abattages - AGRESTE'!$I$25</f>
        <v>0</v>
      </c>
    </row>
    <row r="38" spans="2:8">
      <c r="B38" s="62" t="s">
        <v>195</v>
      </c>
      <c r="C38" s="58">
        <f>7+0.3</f>
        <v>7.3</v>
      </c>
      <c r="D38" s="60">
        <f t="shared" si="10"/>
        <v>6.347826086956522E-2</v>
      </c>
      <c r="E38" s="60">
        <f t="shared" si="9"/>
        <v>8.202247191011236E-2</v>
      </c>
      <c r="F38" s="61">
        <f>E38*'Abattages - AGRESTE'!$G$25</f>
        <v>179049.64269662922</v>
      </c>
      <c r="G38" s="61">
        <f>E38*'Abattages - AGRESTE'!$H$25</f>
        <v>180608.88988764046</v>
      </c>
      <c r="H38" s="61">
        <f>E38*'Abattages - AGRESTE'!$I$25</f>
        <v>169369.26853932586</v>
      </c>
    </row>
    <row r="39" spans="2:8">
      <c r="B39" s="62" t="s">
        <v>196</v>
      </c>
      <c r="C39" s="58">
        <f>C36-C38</f>
        <v>23.490000000000006</v>
      </c>
      <c r="D39" s="60">
        <f t="shared" si="10"/>
        <v>0.20426086956521744</v>
      </c>
      <c r="E39" s="60">
        <f t="shared" si="9"/>
        <v>0.26393258426966298</v>
      </c>
      <c r="F39" s="61">
        <f>E39*'Abattages - AGRESTE'!$G$25</f>
        <v>576147.41191011248</v>
      </c>
      <c r="G39" s="61">
        <f>E39*'Abattages - AGRESTE'!$H$25</f>
        <v>581164.77033707884</v>
      </c>
      <c r="H39" s="61">
        <f>E39*'Abattages - AGRESTE'!$I$25</f>
        <v>544997.82438202261</v>
      </c>
    </row>
    <row r="40" spans="2:8">
      <c r="B40" s="58" t="s">
        <v>67</v>
      </c>
      <c r="C40" s="58">
        <v>1.8</v>
      </c>
      <c r="D40" s="60">
        <f t="shared" si="10"/>
        <v>1.5652173913043479E-2</v>
      </c>
      <c r="E40" s="60">
        <f t="shared" si="9"/>
        <v>2.0224719101123598E-2</v>
      </c>
      <c r="F40" s="61">
        <f>E40*'Abattages - AGRESTE'!$G$25</f>
        <v>44149.226966292139</v>
      </c>
      <c r="G40" s="61">
        <f>E40*'Abattages - AGRESTE'!$H$25</f>
        <v>44533.698876404502</v>
      </c>
      <c r="H40" s="61">
        <f>E40*'Abattages - AGRESTE'!$I$25</f>
        <v>41762.285393258433</v>
      </c>
    </row>
    <row r="43" spans="2:8">
      <c r="B43" s="57" t="s">
        <v>131</v>
      </c>
      <c r="C43" s="58" t="s">
        <v>188</v>
      </c>
      <c r="D43" s="58" t="s">
        <v>189</v>
      </c>
      <c r="E43" s="58" t="s">
        <v>190</v>
      </c>
      <c r="F43" s="115" t="s">
        <v>553</v>
      </c>
      <c r="G43" s="115" t="s">
        <v>554</v>
      </c>
      <c r="H43" s="58" t="s">
        <v>191</v>
      </c>
    </row>
    <row r="44" spans="2:8">
      <c r="B44" s="58" t="s">
        <v>192</v>
      </c>
      <c r="C44" s="58">
        <v>36</v>
      </c>
      <c r="D44" s="60">
        <f t="shared" ref="D44:D53" si="11">C44/$C$44</f>
        <v>1</v>
      </c>
      <c r="E44" s="60">
        <f t="shared" ref="E44:E48" si="12">C44/$C$45</f>
        <v>2</v>
      </c>
      <c r="F44" s="61">
        <f>E44*'Abattages - AGRESTE'!$G$31</f>
        <v>160904</v>
      </c>
      <c r="G44" s="61">
        <f>E44*'Abattages - AGRESTE'!$H$31</f>
        <v>161670</v>
      </c>
      <c r="H44" s="61">
        <f>E44*'Abattages - AGRESTE'!$I$31</f>
        <v>145870</v>
      </c>
    </row>
    <row r="45" spans="2:8">
      <c r="B45" s="59" t="s">
        <v>193</v>
      </c>
      <c r="C45" s="59">
        <v>18</v>
      </c>
      <c r="D45" s="74">
        <f t="shared" si="11"/>
        <v>0.5</v>
      </c>
      <c r="E45" s="74">
        <f t="shared" si="12"/>
        <v>1</v>
      </c>
      <c r="F45" s="75">
        <f>E45*'Abattages - AGRESTE'!$G$31</f>
        <v>80452</v>
      </c>
      <c r="G45" s="75">
        <f>E45*'Abattages - AGRESTE'!$H$31</f>
        <v>80835</v>
      </c>
      <c r="H45" s="75">
        <f>E45*'Abattages - AGRESTE'!$I$31</f>
        <v>72935</v>
      </c>
    </row>
    <row r="46" spans="2:8">
      <c r="B46" s="58" t="s">
        <v>60</v>
      </c>
      <c r="C46" s="58">
        <v>14.4</v>
      </c>
      <c r="D46" s="60">
        <f t="shared" si="11"/>
        <v>0.4</v>
      </c>
      <c r="E46" s="60">
        <f t="shared" si="12"/>
        <v>0.8</v>
      </c>
      <c r="F46" s="61">
        <f>E46*'Abattages - AGRESTE'!$G$31</f>
        <v>64361.600000000006</v>
      </c>
      <c r="G46" s="61">
        <f>E46*'Abattages - AGRESTE'!$H$31</f>
        <v>64668</v>
      </c>
      <c r="H46" s="61">
        <f>E46*'Abattages - AGRESTE'!$I$31</f>
        <v>58348</v>
      </c>
    </row>
    <row r="47" spans="2:8">
      <c r="B47" s="58" t="s">
        <v>61</v>
      </c>
      <c r="C47" s="65">
        <f>0.7+1.5+0.3+1.19-0.1</f>
        <v>3.59</v>
      </c>
      <c r="D47" s="60">
        <f t="shared" si="11"/>
        <v>9.9722222222222212E-2</v>
      </c>
      <c r="E47" s="60">
        <f t="shared" si="12"/>
        <v>0.19944444444444442</v>
      </c>
      <c r="F47" s="61">
        <f>E47*'Abattages - AGRESTE'!$G$31</f>
        <v>16045.704444444444</v>
      </c>
      <c r="G47" s="61">
        <f>E47*'Abattages - AGRESTE'!$H$31</f>
        <v>16122.091666666665</v>
      </c>
      <c r="H47" s="61">
        <f>E47*'Abattages - AGRESTE'!$I$31</f>
        <v>14546.480555555554</v>
      </c>
    </row>
    <row r="48" spans="2:8">
      <c r="B48" s="58" t="s">
        <v>62</v>
      </c>
      <c r="C48" s="65">
        <f>C44-(C47+C52+C53+C46)</f>
        <v>13.91</v>
      </c>
      <c r="D48" s="60">
        <f t="shared" si="11"/>
        <v>0.38638888888888889</v>
      </c>
      <c r="E48" s="60">
        <f t="shared" si="12"/>
        <v>0.77277777777777779</v>
      </c>
      <c r="F48" s="61">
        <f>E48*'Abattages - AGRESTE'!$G$31</f>
        <v>62171.517777777779</v>
      </c>
      <c r="G48" s="61">
        <f>E48*'Abattages - AGRESTE'!$H$31</f>
        <v>62467.491666666669</v>
      </c>
      <c r="H48" s="61">
        <f>E48*'Abattages - AGRESTE'!$I$31</f>
        <v>56362.547222222223</v>
      </c>
    </row>
    <row r="49" spans="2:8">
      <c r="B49" s="62" t="s">
        <v>194</v>
      </c>
      <c r="C49" s="58">
        <f>1+0.5</f>
        <v>1.5</v>
      </c>
      <c r="D49" s="60">
        <f t="shared" si="11"/>
        <v>4.1666666666666664E-2</v>
      </c>
      <c r="E49" s="60">
        <f>C49/$C$45</f>
        <v>8.3333333333333329E-2</v>
      </c>
      <c r="F49" s="61">
        <f>E49*'Abattages - AGRESTE'!$G$31</f>
        <v>6704.333333333333</v>
      </c>
      <c r="G49" s="61">
        <f>E49*'Abattages - AGRESTE'!$H$31</f>
        <v>6736.25</v>
      </c>
      <c r="H49" s="61">
        <f>E49*'Abattages - AGRESTE'!$I$31</f>
        <v>6077.9166666666661</v>
      </c>
    </row>
    <row r="50" spans="2:8">
      <c r="B50" s="62" t="s">
        <v>195</v>
      </c>
      <c r="C50" s="58">
        <v>3</v>
      </c>
      <c r="D50" s="60">
        <f t="shared" si="11"/>
        <v>8.3333333333333329E-2</v>
      </c>
      <c r="E50" s="60">
        <f>C50/$C$45</f>
        <v>0.16666666666666666</v>
      </c>
      <c r="F50" s="61">
        <f>E50*'Abattages - AGRESTE'!$G$31</f>
        <v>13408.666666666666</v>
      </c>
      <c r="G50" s="61">
        <f>E50*'Abattages - AGRESTE'!$H$31</f>
        <v>13472.5</v>
      </c>
      <c r="H50" s="61">
        <f>E50*'Abattages - AGRESTE'!$I$31</f>
        <v>12155.833333333332</v>
      </c>
    </row>
    <row r="51" spans="2:8">
      <c r="B51" s="62" t="s">
        <v>196</v>
      </c>
      <c r="C51" s="65">
        <f>C48-C49-C50+0.1</f>
        <v>9.51</v>
      </c>
      <c r="D51" s="60">
        <f t="shared" si="11"/>
        <v>0.26416666666666666</v>
      </c>
      <c r="E51" s="60">
        <f>C51/$C$45</f>
        <v>0.52833333333333332</v>
      </c>
      <c r="F51" s="61">
        <f>E51*'Abattages - AGRESTE'!$G$31</f>
        <v>42505.473333333335</v>
      </c>
      <c r="G51" s="61">
        <f>E51*'Abattages - AGRESTE'!$H$31</f>
        <v>42707.824999999997</v>
      </c>
      <c r="H51" s="61">
        <f>E51*'Abattages - AGRESTE'!$I$31</f>
        <v>38533.991666666669</v>
      </c>
    </row>
    <row r="52" spans="2:8">
      <c r="B52" s="58" t="s">
        <v>198</v>
      </c>
      <c r="C52" s="58">
        <v>3.1</v>
      </c>
      <c r="D52" s="60">
        <f t="shared" si="11"/>
        <v>8.611111111111111E-2</v>
      </c>
      <c r="E52" s="60">
        <f>C52/$C$45</f>
        <v>0.17222222222222222</v>
      </c>
      <c r="F52" s="61">
        <f>E52*'Abattages - AGRESTE'!$G$31</f>
        <v>13855.622222222222</v>
      </c>
      <c r="G52" s="61">
        <f>E52*'Abattages - AGRESTE'!$H$31</f>
        <v>13921.583333333334</v>
      </c>
      <c r="H52" s="61">
        <f>E52*'Abattages - AGRESTE'!$I$31</f>
        <v>12561.027777777777</v>
      </c>
    </row>
    <row r="53" spans="2:8">
      <c r="B53" s="58" t="s">
        <v>67</v>
      </c>
      <c r="C53" s="58">
        <v>1</v>
      </c>
      <c r="D53" s="60">
        <f t="shared" si="11"/>
        <v>2.7777777777777776E-2</v>
      </c>
      <c r="E53" s="60">
        <f>C53/$C$45</f>
        <v>5.5555555555555552E-2</v>
      </c>
      <c r="F53" s="61">
        <f>E53*'Abattages - AGRESTE'!$G$31</f>
        <v>4469.5555555555557</v>
      </c>
      <c r="G53" s="61">
        <f>E53*'Abattages - AGRESTE'!$H$31</f>
        <v>4490.833333333333</v>
      </c>
      <c r="H53" s="61">
        <f>E53*'Abattages - AGRESTE'!$I$31</f>
        <v>4051.9444444444443</v>
      </c>
    </row>
    <row r="55" spans="2:8">
      <c r="B55" s="57" t="s">
        <v>199</v>
      </c>
      <c r="C55" s="58" t="s">
        <v>188</v>
      </c>
      <c r="D55" s="58" t="s">
        <v>189</v>
      </c>
      <c r="E55" s="58" t="s">
        <v>190</v>
      </c>
      <c r="F55" s="115" t="s">
        <v>553</v>
      </c>
      <c r="G55" s="115" t="s">
        <v>554</v>
      </c>
      <c r="H55" s="58" t="s">
        <v>191</v>
      </c>
    </row>
    <row r="56" spans="2:8">
      <c r="B56" s="58" t="s">
        <v>192</v>
      </c>
      <c r="C56" s="58">
        <f>C44</f>
        <v>36</v>
      </c>
      <c r="D56" s="60">
        <f>D44</f>
        <v>1</v>
      </c>
      <c r="E56" s="60">
        <f>E44</f>
        <v>2</v>
      </c>
      <c r="F56" s="61">
        <f>E56*'Abattages - AGRESTE'!$G$34</f>
        <v>12472</v>
      </c>
      <c r="G56" s="61">
        <f>E56*'Abattages - AGRESTE'!$H$34</f>
        <v>12694</v>
      </c>
      <c r="H56" s="61">
        <f>E56*'Abattages - AGRESTE'!$I$34</f>
        <v>11722</v>
      </c>
    </row>
    <row r="57" spans="2:8">
      <c r="B57" s="59" t="s">
        <v>193</v>
      </c>
      <c r="C57" s="59">
        <f t="shared" ref="C57:E65" si="13">C45</f>
        <v>18</v>
      </c>
      <c r="D57" s="74">
        <f t="shared" si="13"/>
        <v>0.5</v>
      </c>
      <c r="E57" s="74">
        <f t="shared" si="13"/>
        <v>1</v>
      </c>
      <c r="F57" s="75">
        <f>E57*'Abattages - AGRESTE'!$G$34</f>
        <v>6236</v>
      </c>
      <c r="G57" s="75">
        <f>E57*'Abattages - AGRESTE'!$H$34</f>
        <v>6347</v>
      </c>
      <c r="H57" s="75">
        <f>E57*'Abattages - AGRESTE'!$I$34</f>
        <v>5861</v>
      </c>
    </row>
    <row r="58" spans="2:8">
      <c r="B58" s="58" t="s">
        <v>60</v>
      </c>
      <c r="C58" s="58">
        <f t="shared" si="13"/>
        <v>14.4</v>
      </c>
      <c r="D58" s="60">
        <f t="shared" si="13"/>
        <v>0.4</v>
      </c>
      <c r="E58" s="60">
        <f t="shared" si="13"/>
        <v>0.8</v>
      </c>
      <c r="F58" s="61">
        <f>E58*'Abattages - AGRESTE'!$G$34</f>
        <v>4988.8</v>
      </c>
      <c r="G58" s="61">
        <f>E58*'Abattages - AGRESTE'!$H$34</f>
        <v>5077.6000000000004</v>
      </c>
      <c r="H58" s="61">
        <f>E58*'Abattages - AGRESTE'!$I$34</f>
        <v>4688.8</v>
      </c>
    </row>
    <row r="59" spans="2:8">
      <c r="B59" s="58" t="s">
        <v>61</v>
      </c>
      <c r="C59" s="58">
        <f t="shared" si="13"/>
        <v>3.59</v>
      </c>
      <c r="D59" s="60">
        <f t="shared" si="13"/>
        <v>9.9722222222222212E-2</v>
      </c>
      <c r="E59" s="60">
        <f t="shared" si="13"/>
        <v>0.19944444444444442</v>
      </c>
      <c r="F59" s="61">
        <f>E59*'Abattages - AGRESTE'!$G$34</f>
        <v>1243.7355555555555</v>
      </c>
      <c r="G59" s="61">
        <f>E59*'Abattages - AGRESTE'!$H$34</f>
        <v>1265.8738888888888</v>
      </c>
      <c r="H59" s="61">
        <f>E59*'Abattages - AGRESTE'!$I$34</f>
        <v>1168.9438888888888</v>
      </c>
    </row>
    <row r="60" spans="2:8">
      <c r="B60" s="58" t="s">
        <v>62</v>
      </c>
      <c r="C60" s="58">
        <f t="shared" si="13"/>
        <v>13.91</v>
      </c>
      <c r="D60" s="60">
        <f t="shared" si="13"/>
        <v>0.38638888888888889</v>
      </c>
      <c r="E60" s="60">
        <f t="shared" si="13"/>
        <v>0.77277777777777779</v>
      </c>
      <c r="F60" s="61">
        <f>E60*'Abattages - AGRESTE'!$G$34</f>
        <v>4819.0422222222223</v>
      </c>
      <c r="G60" s="61">
        <f>E60*'Abattages - AGRESTE'!$H$34</f>
        <v>4904.820555555556</v>
      </c>
      <c r="H60" s="61">
        <f>E60*'Abattages - AGRESTE'!$I$34</f>
        <v>4529.2505555555554</v>
      </c>
    </row>
    <row r="61" spans="2:8">
      <c r="B61" s="62" t="s">
        <v>194</v>
      </c>
      <c r="C61" s="58">
        <f t="shared" si="13"/>
        <v>1.5</v>
      </c>
      <c r="D61" s="60">
        <f t="shared" si="13"/>
        <v>4.1666666666666664E-2</v>
      </c>
      <c r="E61" s="60">
        <f t="shared" si="13"/>
        <v>8.3333333333333329E-2</v>
      </c>
      <c r="F61" s="61">
        <f>E61*'Abattages - AGRESTE'!$G$34</f>
        <v>519.66666666666663</v>
      </c>
      <c r="G61" s="61">
        <f>E61*'Abattages - AGRESTE'!$H$34</f>
        <v>528.91666666666663</v>
      </c>
      <c r="H61" s="61">
        <f>E61*'Abattages - AGRESTE'!$I$34</f>
        <v>488.41666666666663</v>
      </c>
    </row>
    <row r="62" spans="2:8">
      <c r="B62" s="62" t="s">
        <v>195</v>
      </c>
      <c r="C62" s="58">
        <f t="shared" si="13"/>
        <v>3</v>
      </c>
      <c r="D62" s="60">
        <f t="shared" si="13"/>
        <v>8.3333333333333329E-2</v>
      </c>
      <c r="E62" s="60">
        <f t="shared" si="13"/>
        <v>0.16666666666666666</v>
      </c>
      <c r="F62" s="61">
        <f>E62*'Abattages - AGRESTE'!$G$34</f>
        <v>1039.3333333333333</v>
      </c>
      <c r="G62" s="61">
        <f>E62*'Abattages - AGRESTE'!$H$34</f>
        <v>1057.8333333333333</v>
      </c>
      <c r="H62" s="61">
        <f>E62*'Abattages - AGRESTE'!$I$34</f>
        <v>976.83333333333326</v>
      </c>
    </row>
    <row r="63" spans="2:8">
      <c r="B63" s="62" t="s">
        <v>196</v>
      </c>
      <c r="C63" s="58">
        <f t="shared" si="13"/>
        <v>9.51</v>
      </c>
      <c r="D63" s="60">
        <f t="shared" si="13"/>
        <v>0.26416666666666666</v>
      </c>
      <c r="E63" s="60">
        <f t="shared" si="13"/>
        <v>0.52833333333333332</v>
      </c>
      <c r="F63" s="61">
        <f>E63*'Abattages - AGRESTE'!$G$34</f>
        <v>3294.6866666666665</v>
      </c>
      <c r="G63" s="61">
        <f>E63*'Abattages - AGRESTE'!$H$34</f>
        <v>3353.3316666666665</v>
      </c>
      <c r="H63" s="61">
        <f>E63*'Abattages - AGRESTE'!$I$34</f>
        <v>3096.5616666666665</v>
      </c>
    </row>
    <row r="64" spans="2:8">
      <c r="B64" s="58" t="s">
        <v>198</v>
      </c>
      <c r="C64" s="58">
        <f t="shared" si="13"/>
        <v>3.1</v>
      </c>
      <c r="D64" s="60">
        <f t="shared" si="13"/>
        <v>8.611111111111111E-2</v>
      </c>
      <c r="E64" s="60">
        <f t="shared" si="13"/>
        <v>0.17222222222222222</v>
      </c>
      <c r="F64" s="61">
        <f>E64*'Abattages - AGRESTE'!$G$34</f>
        <v>1073.9777777777779</v>
      </c>
      <c r="G64" s="61">
        <f>E64*'Abattages - AGRESTE'!$H$34</f>
        <v>1093.0944444444444</v>
      </c>
      <c r="H64" s="61">
        <f>E64*'Abattages - AGRESTE'!$I$34</f>
        <v>1009.3944444444444</v>
      </c>
    </row>
    <row r="65" spans="2:8">
      <c r="B65" s="58" t="s">
        <v>67</v>
      </c>
      <c r="C65" s="58">
        <f t="shared" si="13"/>
        <v>1</v>
      </c>
      <c r="D65" s="60">
        <f t="shared" si="13"/>
        <v>2.7777777777777776E-2</v>
      </c>
      <c r="E65" s="60">
        <f t="shared" si="13"/>
        <v>5.5555555555555552E-2</v>
      </c>
      <c r="F65" s="61">
        <f>E65*'Abattages - AGRESTE'!$G$34</f>
        <v>346.4444444444444</v>
      </c>
      <c r="G65" s="61">
        <f>E65*'Abattages - AGRESTE'!$H$34</f>
        <v>352.61111111111109</v>
      </c>
      <c r="H65" s="61">
        <f>E65*'Abattages - AGRESTE'!$I$34</f>
        <v>325.61111111111109</v>
      </c>
    </row>
    <row r="67" spans="2:8">
      <c r="B67" s="57" t="s">
        <v>200</v>
      </c>
      <c r="C67" s="58" t="s">
        <v>188</v>
      </c>
      <c r="D67" s="58" t="s">
        <v>189</v>
      </c>
      <c r="E67" s="58" t="s">
        <v>190</v>
      </c>
      <c r="F67" s="115" t="s">
        <v>553</v>
      </c>
      <c r="G67" s="115" t="s">
        <v>554</v>
      </c>
      <c r="H67" s="58" t="s">
        <v>191</v>
      </c>
    </row>
    <row r="68" spans="2:8">
      <c r="B68" s="58" t="s">
        <v>192</v>
      </c>
      <c r="C68" s="58">
        <f>C44</f>
        <v>36</v>
      </c>
      <c r="D68" s="60">
        <f>D44</f>
        <v>1</v>
      </c>
      <c r="E68" s="60">
        <f>E44</f>
        <v>2</v>
      </c>
      <c r="F68" s="61">
        <f>E68*'Abattages - AGRESTE'!$G$37</f>
        <v>9086</v>
      </c>
      <c r="G68" s="61">
        <f>E68*'Abattages - AGRESTE'!$H$37</f>
        <v>4376</v>
      </c>
      <c r="H68" s="61">
        <f>E68*'Abattages - AGRESTE'!$I$37</f>
        <v>1982</v>
      </c>
    </row>
    <row r="69" spans="2:8">
      <c r="B69" s="59" t="s">
        <v>193</v>
      </c>
      <c r="C69" s="59">
        <f t="shared" ref="C69:E77" si="14">C45</f>
        <v>18</v>
      </c>
      <c r="D69" s="74">
        <f t="shared" si="14"/>
        <v>0.5</v>
      </c>
      <c r="E69" s="74">
        <f t="shared" si="14"/>
        <v>1</v>
      </c>
      <c r="F69" s="75">
        <f>E69*'Abattages - AGRESTE'!$G$37</f>
        <v>4543</v>
      </c>
      <c r="G69" s="75">
        <f>E69*'Abattages - AGRESTE'!$H$37</f>
        <v>2188</v>
      </c>
      <c r="H69" s="75">
        <f>E69*'Abattages - AGRESTE'!$I$37</f>
        <v>991</v>
      </c>
    </row>
    <row r="70" spans="2:8">
      <c r="B70" s="58" t="s">
        <v>60</v>
      </c>
      <c r="C70" s="58">
        <f t="shared" si="14"/>
        <v>14.4</v>
      </c>
      <c r="D70" s="60">
        <f t="shared" si="14"/>
        <v>0.4</v>
      </c>
      <c r="E70" s="60">
        <f t="shared" si="14"/>
        <v>0.8</v>
      </c>
      <c r="F70" s="61">
        <f>E70*'Abattages - AGRESTE'!$G$37</f>
        <v>3634.4</v>
      </c>
      <c r="G70" s="61">
        <f>E70*'Abattages - AGRESTE'!$H$37</f>
        <v>1750.4</v>
      </c>
      <c r="H70" s="61">
        <f>E70*'Abattages - AGRESTE'!$I$37</f>
        <v>792.80000000000007</v>
      </c>
    </row>
    <row r="71" spans="2:8">
      <c r="B71" s="58" t="s">
        <v>61</v>
      </c>
      <c r="C71" s="58">
        <f t="shared" si="14"/>
        <v>3.59</v>
      </c>
      <c r="D71" s="60">
        <f t="shared" si="14"/>
        <v>9.9722222222222212E-2</v>
      </c>
      <c r="E71" s="60">
        <f t="shared" si="14"/>
        <v>0.19944444444444442</v>
      </c>
      <c r="F71" s="61">
        <f>E71*'Abattages - AGRESTE'!$G$37</f>
        <v>906.076111111111</v>
      </c>
      <c r="G71" s="61">
        <f>E71*'Abattages - AGRESTE'!$H$37</f>
        <v>436.3844444444444</v>
      </c>
      <c r="H71" s="61">
        <f>E71*'Abattages - AGRESTE'!$I$37</f>
        <v>197.64944444444441</v>
      </c>
    </row>
    <row r="72" spans="2:8">
      <c r="B72" s="58" t="s">
        <v>62</v>
      </c>
      <c r="C72" s="58">
        <f t="shared" si="14"/>
        <v>13.91</v>
      </c>
      <c r="D72" s="60">
        <f t="shared" si="14"/>
        <v>0.38638888888888889</v>
      </c>
      <c r="E72" s="60">
        <f t="shared" si="14"/>
        <v>0.77277777777777779</v>
      </c>
      <c r="F72" s="61">
        <f>E72*'Abattages - AGRESTE'!$G$37</f>
        <v>3510.7294444444447</v>
      </c>
      <c r="G72" s="61">
        <f>E72*'Abattages - AGRESTE'!$H$37</f>
        <v>1690.8377777777778</v>
      </c>
      <c r="H72" s="61">
        <f>E72*'Abattages - AGRESTE'!$I$37</f>
        <v>765.82277777777779</v>
      </c>
    </row>
    <row r="73" spans="2:8">
      <c r="B73" s="62" t="s">
        <v>194</v>
      </c>
      <c r="C73" s="58">
        <f t="shared" si="14"/>
        <v>1.5</v>
      </c>
      <c r="D73" s="60">
        <f t="shared" si="14"/>
        <v>4.1666666666666664E-2</v>
      </c>
      <c r="E73" s="60">
        <f t="shared" si="14"/>
        <v>8.3333333333333329E-2</v>
      </c>
      <c r="F73" s="61">
        <f>E73*'Abattages - AGRESTE'!$G$37</f>
        <v>378.58333333333331</v>
      </c>
      <c r="G73" s="61">
        <f>E73*'Abattages - AGRESTE'!$H$37</f>
        <v>182.33333333333331</v>
      </c>
      <c r="H73" s="61">
        <f>E73*'Abattages - AGRESTE'!$I$37</f>
        <v>82.583333333333329</v>
      </c>
    </row>
    <row r="74" spans="2:8">
      <c r="B74" s="62" t="s">
        <v>195</v>
      </c>
      <c r="C74" s="58">
        <f t="shared" si="14"/>
        <v>3</v>
      </c>
      <c r="D74" s="60">
        <f t="shared" si="14"/>
        <v>8.3333333333333329E-2</v>
      </c>
      <c r="E74" s="60">
        <f t="shared" si="14"/>
        <v>0.16666666666666666</v>
      </c>
      <c r="F74" s="61">
        <f>E74*'Abattages - AGRESTE'!$G$37</f>
        <v>757.16666666666663</v>
      </c>
      <c r="G74" s="61">
        <f>E74*'Abattages - AGRESTE'!$H$37</f>
        <v>364.66666666666663</v>
      </c>
      <c r="H74" s="61">
        <f>E74*'Abattages - AGRESTE'!$I$37</f>
        <v>165.16666666666666</v>
      </c>
    </row>
    <row r="75" spans="2:8">
      <c r="B75" s="62" t="s">
        <v>196</v>
      </c>
      <c r="C75" s="58">
        <f t="shared" si="14"/>
        <v>9.51</v>
      </c>
      <c r="D75" s="60">
        <f t="shared" si="14"/>
        <v>0.26416666666666666</v>
      </c>
      <c r="E75" s="60">
        <f t="shared" si="14"/>
        <v>0.52833333333333332</v>
      </c>
      <c r="F75" s="61">
        <f>E75*'Abattages - AGRESTE'!$G$37</f>
        <v>2400.2183333333332</v>
      </c>
      <c r="G75" s="61">
        <f>E75*'Abattages - AGRESTE'!$H$37</f>
        <v>1155.9933333333333</v>
      </c>
      <c r="H75" s="61">
        <f>E75*'Abattages - AGRESTE'!$I$37</f>
        <v>523.57833333333338</v>
      </c>
    </row>
    <row r="76" spans="2:8">
      <c r="B76" s="58" t="s">
        <v>198</v>
      </c>
      <c r="C76" s="58">
        <f t="shared" si="14"/>
        <v>3.1</v>
      </c>
      <c r="D76" s="60">
        <f t="shared" si="14"/>
        <v>8.611111111111111E-2</v>
      </c>
      <c r="E76" s="60">
        <f t="shared" si="14"/>
        <v>0.17222222222222222</v>
      </c>
      <c r="F76" s="61">
        <f>E76*'Abattages - AGRESTE'!$G$37</f>
        <v>782.40555555555557</v>
      </c>
      <c r="G76" s="61">
        <f>E76*'Abattages - AGRESTE'!$H$37</f>
        <v>376.82222222222219</v>
      </c>
      <c r="H76" s="61">
        <f>E76*'Abattages - AGRESTE'!$I$37</f>
        <v>170.67222222222222</v>
      </c>
    </row>
    <row r="77" spans="2:8">
      <c r="B77" s="58" t="s">
        <v>67</v>
      </c>
      <c r="C77" s="58">
        <f t="shared" si="14"/>
        <v>1</v>
      </c>
      <c r="D77" s="60">
        <f t="shared" si="14"/>
        <v>2.7777777777777776E-2</v>
      </c>
      <c r="E77" s="60">
        <f t="shared" si="14"/>
        <v>5.5555555555555552E-2</v>
      </c>
      <c r="F77" s="61">
        <f>E77*'Abattages - AGRESTE'!$G$37</f>
        <v>252.38888888888889</v>
      </c>
      <c r="G77" s="61">
        <f>E77*'Abattages - AGRESTE'!$H$37</f>
        <v>121.55555555555554</v>
      </c>
      <c r="H77" s="61">
        <f>E77*'Abattages - AGRESTE'!$I$37</f>
        <v>55.05555555555555</v>
      </c>
    </row>
  </sheetData>
  <phoneticPr fontId="33"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CB1-8CFC-486A-8EB4-6964BA78028B}">
  <sheetPr>
    <tabColor rgb="FFD7D200"/>
  </sheetPr>
  <dimension ref="A1:E35"/>
  <sheetViews>
    <sheetView workbookViewId="0">
      <selection activeCell="B13" sqref="B13"/>
    </sheetView>
  </sheetViews>
  <sheetFormatPr baseColWidth="10" defaultColWidth="11.44140625" defaultRowHeight="14.4"/>
  <cols>
    <col min="1" max="1" width="36.33203125" style="163" bestFit="1" customWidth="1"/>
    <col min="2" max="2" width="11.44140625" style="171"/>
    <col min="3" max="16384" width="11.44140625" style="163"/>
  </cols>
  <sheetData>
    <row r="1" spans="1:5" ht="23.4">
      <c r="A1" s="170" t="s">
        <v>675</v>
      </c>
    </row>
    <row r="2" spans="1:5">
      <c r="B2" s="172" t="s">
        <v>676</v>
      </c>
    </row>
    <row r="3" spans="1:5">
      <c r="A3" s="173" t="s">
        <v>677</v>
      </c>
    </row>
    <row r="4" spans="1:5">
      <c r="A4" s="174" t="s">
        <v>665</v>
      </c>
      <c r="B4" s="175"/>
      <c r="E4" s="169"/>
    </row>
    <row r="5" spans="1:5">
      <c r="A5" s="174" t="s">
        <v>675</v>
      </c>
    </row>
    <row r="6" spans="1:5">
      <c r="A6" s="174" t="s">
        <v>678</v>
      </c>
    </row>
    <row r="7" spans="1:5">
      <c r="A7" s="176"/>
    </row>
    <row r="8" spans="1:5">
      <c r="A8" s="173" t="s">
        <v>679</v>
      </c>
    </row>
    <row r="9" spans="1:5">
      <c r="A9" s="174" t="s">
        <v>680</v>
      </c>
      <c r="B9" s="171" t="s">
        <v>681</v>
      </c>
    </row>
    <row r="10" spans="1:5">
      <c r="A10" s="174" t="s">
        <v>682</v>
      </c>
      <c r="B10" s="171" t="str">
        <f>Produits!B1</f>
        <v>Liste des produits</v>
      </c>
      <c r="D10" s="174"/>
    </row>
    <row r="11" spans="1:5">
      <c r="A11" s="174" t="s">
        <v>683</v>
      </c>
      <c r="B11" s="171" t="str">
        <f>Secteurs!B1</f>
        <v>Liste des secteurs</v>
      </c>
    </row>
    <row r="12" spans="1:5">
      <c r="A12" s="177" t="s">
        <v>684</v>
      </c>
      <c r="B12" s="171" t="s">
        <v>685</v>
      </c>
    </row>
    <row r="13" spans="1:5">
      <c r="A13" s="174" t="s">
        <v>686</v>
      </c>
    </row>
    <row r="14" spans="1:5">
      <c r="A14" s="174" t="s">
        <v>687</v>
      </c>
    </row>
    <row r="15" spans="1:5">
      <c r="A15" s="174" t="s">
        <v>688</v>
      </c>
    </row>
    <row r="16" spans="1:5">
      <c r="A16" s="174" t="s">
        <v>689</v>
      </c>
    </row>
    <row r="17" spans="1:5" s="171" customFormat="1">
      <c r="A17" s="174" t="s">
        <v>690</v>
      </c>
      <c r="C17" s="163"/>
      <c r="D17" s="163"/>
      <c r="E17" s="163"/>
    </row>
    <row r="18" spans="1:5" s="171" customFormat="1">
      <c r="A18" s="174" t="s">
        <v>691</v>
      </c>
      <c r="C18" s="163"/>
      <c r="D18" s="163"/>
      <c r="E18" s="163"/>
    </row>
    <row r="19" spans="1:5" s="171" customFormat="1">
      <c r="A19" s="174" t="s">
        <v>692</v>
      </c>
      <c r="C19" s="163"/>
      <c r="D19" s="163"/>
      <c r="E19" s="163"/>
    </row>
    <row r="20" spans="1:5" s="171" customFormat="1">
      <c r="A20" s="174" t="s">
        <v>693</v>
      </c>
      <c r="C20" s="163"/>
      <c r="D20" s="163"/>
      <c r="E20" s="163"/>
    </row>
    <row r="21" spans="1:5" s="171" customFormat="1">
      <c r="A21" s="177" t="s">
        <v>814</v>
      </c>
      <c r="C21" s="163"/>
      <c r="D21" s="163"/>
      <c r="E21" s="163"/>
    </row>
    <row r="22" spans="1:5">
      <c r="A22" s="177" t="s">
        <v>694</v>
      </c>
    </row>
    <row r="23" spans="1:5">
      <c r="A23" s="177" t="s">
        <v>694</v>
      </c>
    </row>
    <row r="24" spans="1:5" s="171" customFormat="1">
      <c r="A24" s="177"/>
      <c r="C24" s="163"/>
      <c r="D24" s="163"/>
      <c r="E24" s="163"/>
    </row>
    <row r="25" spans="1:5">
      <c r="A25" s="173" t="s">
        <v>695</v>
      </c>
    </row>
    <row r="26" spans="1:5">
      <c r="A26" s="177" t="s">
        <v>696</v>
      </c>
      <c r="B26" s="171" t="str">
        <f>'Abattages - AGRESTE'!L5</f>
        <v>Agreste - Base de données nationale de l'identification française (BDNI)</v>
      </c>
    </row>
    <row r="27" spans="1:5">
      <c r="A27" s="177" t="s">
        <v>697</v>
      </c>
    </row>
    <row r="28" spans="1:5">
      <c r="A28" s="177" t="s">
        <v>698</v>
      </c>
      <c r="B28" s="171" t="str">
        <f>'Fabrication - PRODCOM'!B2</f>
        <v>Production vendue, exportations et importations [ds-056120__custom_15265631]</v>
      </c>
    </row>
    <row r="29" spans="1:5">
      <c r="A29" s="177" t="s">
        <v>815</v>
      </c>
      <c r="B29" s="171" t="str">
        <f>'Comext - Eurostat'!B2</f>
        <v>Commerce UE depuis 1988 par SH2,4,6 et NC8 [ds-045409__custom_15281585]</v>
      </c>
    </row>
    <row r="30" spans="1:5">
      <c r="A30" s="177" t="s">
        <v>816</v>
      </c>
      <c r="B30" s="171" t="str">
        <f>'Allocation bovins'!B2</f>
        <v>Echanges de graisses</v>
      </c>
    </row>
    <row r="31" spans="1:5">
      <c r="A31" s="177" t="s">
        <v>699</v>
      </c>
      <c r="B31" s="171" t="str">
        <f>'Anatomie - Blézat'!A1</f>
        <v>Composition anatomique et rendement d'abattage/découpe</v>
      </c>
    </row>
    <row r="32" spans="1:5">
      <c r="A32" s="177" t="s">
        <v>700</v>
      </c>
    </row>
    <row r="33" spans="1:2">
      <c r="A33" s="177" t="s">
        <v>817</v>
      </c>
      <c r="B33" s="171" t="s">
        <v>820</v>
      </c>
    </row>
    <row r="34" spans="1:2">
      <c r="A34" s="177" t="s">
        <v>818</v>
      </c>
      <c r="B34" s="171" t="str">
        <f>'Débouchés abats - Blézat'!K14</f>
        <v>Débouchés des abats de bovins (2011, kt)</v>
      </c>
    </row>
    <row r="35" spans="1:2">
      <c r="A35" s="177" t="s">
        <v>819</v>
      </c>
      <c r="B35" s="171" t="str">
        <f>'Comext de viande - Idele'!K4</f>
        <v>Source : Estimations Idele, réexports retirés (initialement en ktec, converties en kt : coef 1,3)</v>
      </c>
    </row>
  </sheetData>
  <hyperlinks>
    <hyperlink ref="A4" location="'Informations générales'!A1" display="Informations générales" xr:uid="{A9DB6A58-2757-4183-8C70-70773C16A084}"/>
    <hyperlink ref="A5" location="SOMMAIRE!A1" display="SOMMAIRE" xr:uid="{AF20B1B1-EDB2-4132-B8C2-A4C51628CF74}"/>
    <hyperlink ref="A6" location="'Lecture du fichier'!A1" display="Lecture du fichier" xr:uid="{D3687409-2777-4FFA-9692-857827CA1D2E}"/>
    <hyperlink ref="A9" location="Etiquettes!A1" display="Etiquettes" xr:uid="{85A09B47-87BA-4C80-8C8F-59B920700951}"/>
    <hyperlink ref="A10" location="Produits!A1" display="Produits" xr:uid="{63495049-3610-4826-A46F-BFE93286CDC5}"/>
    <hyperlink ref="A11" location="Secteurs!A1" display="Secteurs" xr:uid="{A4F4CA2E-4E74-4368-8F47-AD57D89743C0}"/>
    <hyperlink ref="A13" location="Données!A1" display="Données" xr:uid="{B577813D-2031-47BE-9183-697DC23EC5EA}"/>
    <hyperlink ref="A14" location="'Données '!A1" display="Données " xr:uid="{E688CC70-A392-47D3-ABD8-84E13DDE3AD7}"/>
    <hyperlink ref="A15" location="'Données  '!A1" display="Données  " xr:uid="{255AF4D8-3FA0-4F01-B65B-B62C10618F5C}"/>
    <hyperlink ref="A16" location="'Données   '!A1" display="Données   " xr:uid="{10710386-BADF-471C-AEEE-96761B4C49E2}"/>
    <hyperlink ref="A18" location="'Données    '!A1" display="Données    " xr:uid="{11C70B50-4CF7-452D-8790-F217D62C873A}"/>
    <hyperlink ref="A17" location="Contraintes!A1" display="Contraintes" xr:uid="{C7F58C98-FC02-4994-91EA-6D2D020BED1F}"/>
    <hyperlink ref="A19" location="'Contraintes '!A1" display="Contraintes       " xr:uid="{AB105453-8DE3-4FAF-B136-29EA8AFAAD98}"/>
    <hyperlink ref="A20" location="'Contraintes  '!A1" display="Contraintes  " xr:uid="{20754FFF-F545-4DB1-B34A-A1E1E19DC622}"/>
    <hyperlink ref="A12" location="'Structure des flux'!A1" display="'Structure des flux'!A1" xr:uid="{4A449931-780B-4133-8B0E-D465435379D5}"/>
    <hyperlink ref="A22" location="' Données '!A1" display="' Données '!A1" xr:uid="{F8784A67-42BA-45D9-907A-456DA9F8B959}"/>
    <hyperlink ref="A21" location="'Contraintes   '!A1" display="'Contraintes   '!A1" xr:uid="{3C08E381-A801-4DEA-8C5C-FCA8E6102ECD}"/>
    <hyperlink ref="A23" location="' Données '!A1" display="' Données '!A1" xr:uid="{9F7A1E01-B169-4EE4-884E-DADAA33CE5C2}"/>
    <hyperlink ref="A26" location="'Abattages - AGRESTE'!A1" display="'Abattages - AGRESTE'!A1" xr:uid="{C94E76E2-BCF6-4F81-9ACE-EA16EBA07055}"/>
    <hyperlink ref="A27" location="'Comext - AGRESTE'!A1" display="'Comext - AGRESTE'!A1" xr:uid="{35813BB6-4C13-4843-8D7B-DF469DE83AA3}"/>
    <hyperlink ref="A28" location="'Fabrication - PRODCOM'!A1" display="'Fabrication - PRODCOM'!A1" xr:uid="{67600686-BC84-4217-85A5-01E165058835}"/>
    <hyperlink ref="A29" location="'Comext - Eurostat'!A1" display="'Comext - Eurostat'!A1" xr:uid="{FABAFEC6-0EA0-44C6-8B45-660B96EBB7A1}"/>
    <hyperlink ref="A30" location="'Allocation bovins'!A1" display="'Allocation bovins'!A1" xr:uid="{C157EBAF-8626-4FFA-9765-2B486411A6E8}"/>
    <hyperlink ref="A31" location="'Anatomie - Blézat'!A1" display="'Anatomie - Blézat'!A1" xr:uid="{A89EF1EE-524C-4BAE-A415-1C77715FC54F}"/>
    <hyperlink ref="A32" location="'Coproduits - SIFCO'!A1" display="'Coproduits - SIFCO'!A1" xr:uid="{C7294464-0545-471E-9FA7-3011FFA6B579}"/>
    <hyperlink ref="A33" location="'Consommation - IDELE'!A1" display="'Consommation - IDELE'!A1" xr:uid="{2EE05FFA-1035-49D5-8576-93674DCED0DF}"/>
    <hyperlink ref="A34" location="'Débouchés abats - Blézat'!A1" display="'Débouchés abats - Blézat'!A1" xr:uid="{873682C1-9877-48A0-A58F-417E295096E6}"/>
    <hyperlink ref="A35" location="'Comext de viande - Idele'!A1" display="'Comext de viande - Idele'!A1" xr:uid="{2B4AD6D9-6443-4E84-A43D-BCC18CC3201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8A44-675E-4C09-A47C-095CBC3A9583}">
  <sheetPr>
    <tabColor rgb="FF92D050"/>
  </sheetPr>
  <dimension ref="A1:S55"/>
  <sheetViews>
    <sheetView workbookViewId="0">
      <pane xSplit="2" ySplit="1" topLeftCell="C17" activePane="bottomRight" state="frozen"/>
      <selection activeCell="AD10" sqref="AD10"/>
      <selection pane="topRight" activeCell="AD10" sqref="AD10"/>
      <selection pane="bottomLeft" activeCell="AD10" sqref="AD10"/>
      <selection pane="bottomRight" activeCell="P2" sqref="P2:Q5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Produits!$B$24</f>
        <v>Farines animales</v>
      </c>
      <c r="B2" t="str">
        <f>Secteurs!$B$27</f>
        <v>Energie</v>
      </c>
      <c r="C2" s="67">
        <f>'Coproduits - SIFCO'!F19*'Coproduits - SIFCO'!AA3/10^3</f>
        <v>69.125675061644614</v>
      </c>
      <c r="D2" s="72"/>
      <c r="E2" s="27" t="str">
        <f>Etiquettes!$C$7</f>
        <v>kt</v>
      </c>
      <c r="F2" s="111" t="str">
        <f>Etiquettes!$C$4</f>
        <v>Viande bovine</v>
      </c>
      <c r="G2" s="27">
        <f>Etiquettes!$H$6</f>
        <v>2015</v>
      </c>
      <c r="H2" s="27" t="str">
        <f>Etiquettes!$C$5</f>
        <v>France entière</v>
      </c>
      <c r="I2" s="111" t="s">
        <v>502</v>
      </c>
      <c r="J2" t="s">
        <v>606</v>
      </c>
      <c r="K2" t="s">
        <v>208</v>
      </c>
      <c r="L2" s="111" t="str" cm="1">
        <f t="array" aca="1" ref="L2" ca="1">[1]!NOM_FEUILLE('Coproduits - SIFCO'!$A$1)</f>
        <v>Coproduits - SIFCO</v>
      </c>
      <c r="M2" s="27" t="str">
        <f>Etiquettes!$H$11</f>
        <v>Volume</v>
      </c>
      <c r="N2" s="112" t="str">
        <f t="shared" ref="N2:N33" si="0">_xlfn.CONCAT(I2,IF(OR(ISBLANK(C2),ISERROR(C2)),"",_xlfn.CONCAT(" = ",MROUND(C2,1)," ",E2," (",K2,")")))</f>
        <v>Valorisation des farines animales en énergie = 69 kt (SIFCO)</v>
      </c>
      <c r="O2" s="10" t="str">
        <f>Etiquettes!$K$15</f>
        <v>Approximative</v>
      </c>
      <c r="P2" s="111" t="str">
        <f>Etiquettes!$H$16</f>
        <v>Données collectées</v>
      </c>
      <c r="Q2" s="111" t="str">
        <f>Etiquettes!$H$17</f>
        <v>Donnée collectée (valeur du flux ou coefficient)</v>
      </c>
      <c r="S2" s="205" t="s">
        <v>229</v>
      </c>
    </row>
    <row r="3" spans="1:19">
      <c r="A3" t="str">
        <f>Produits!$B$24</f>
        <v>Farines animales</v>
      </c>
      <c r="B3" t="str">
        <f>Secteurs!$B$28</f>
        <v>Fertilisation</v>
      </c>
      <c r="C3" s="67">
        <f>'Coproduits - SIFCO'!I19*'Coproduits - SIFCO'!AA3/10^3</f>
        <v>20.348357925415804</v>
      </c>
      <c r="D3" s="72"/>
      <c r="E3" s="27" t="str">
        <f>Etiquettes!$C$7</f>
        <v>kt</v>
      </c>
      <c r="F3" s="111" t="str">
        <f>Etiquettes!$C$4</f>
        <v>Viande bovine</v>
      </c>
      <c r="G3" s="27">
        <f>Etiquettes!$H$6</f>
        <v>2015</v>
      </c>
      <c r="H3" s="27" t="str">
        <f>Etiquettes!$C$5</f>
        <v>France entière</v>
      </c>
      <c r="I3" s="111" t="s">
        <v>503</v>
      </c>
      <c r="J3" t="s">
        <v>606</v>
      </c>
      <c r="K3" t="s">
        <v>208</v>
      </c>
      <c r="L3" s="111" t="str" cm="1">
        <f t="array" aca="1" ref="L3" ca="1">[1]!NOM_FEUILLE('Coproduits - SIFCO'!$A$1)</f>
        <v>Coproduits - SIFCO</v>
      </c>
      <c r="M3" s="27" t="str">
        <f>Etiquettes!$H$11</f>
        <v>Volume</v>
      </c>
      <c r="N3" s="112" t="str">
        <f t="shared" si="0"/>
        <v>Valorisation des farines animales en fertilisation = 20 kt (SIFCO)</v>
      </c>
      <c r="O3" s="10" t="str">
        <f>Etiquettes!$K$15</f>
        <v>Approximative</v>
      </c>
      <c r="P3" s="111" t="str">
        <f>Etiquettes!$H$16</f>
        <v>Données collectées</v>
      </c>
      <c r="Q3" s="111" t="str">
        <f>Etiquettes!$H$17</f>
        <v>Donnée collectée (valeur du flux ou coefficient)</v>
      </c>
      <c r="S3" s="205"/>
    </row>
    <row r="4" spans="1:19">
      <c r="A4" t="str">
        <f>Produits!$B$25</f>
        <v>Graisses animales</v>
      </c>
      <c r="B4" t="str">
        <f>Secteurs!$B$27</f>
        <v>Energie</v>
      </c>
      <c r="C4" s="67">
        <f>'Coproduits - SIFCO'!F20*'Coproduits - SIFCO'!AA3/10^3</f>
        <v>47.13550258710648</v>
      </c>
      <c r="D4" s="72"/>
      <c r="E4" s="27" t="str">
        <f>Etiquettes!$C$7</f>
        <v>kt</v>
      </c>
      <c r="F4" s="111" t="str">
        <f>Etiquettes!$C$4</f>
        <v>Viande bovine</v>
      </c>
      <c r="G4" s="27">
        <f>Etiquettes!$H$6</f>
        <v>2015</v>
      </c>
      <c r="H4" s="27" t="str">
        <f>Etiquettes!$C$5</f>
        <v>France entière</v>
      </c>
      <c r="I4" s="111" t="s">
        <v>504</v>
      </c>
      <c r="J4" t="s">
        <v>606</v>
      </c>
      <c r="K4" t="s">
        <v>208</v>
      </c>
      <c r="L4" s="111" t="str" cm="1">
        <f t="array" aca="1" ref="L4" ca="1">[1]!NOM_FEUILLE('Coproduits - SIFCO'!$A$1)</f>
        <v>Coproduits - SIFCO</v>
      </c>
      <c r="M4" s="27" t="str">
        <f>Etiquettes!$H$11</f>
        <v>Volume</v>
      </c>
      <c r="N4" s="112" t="str">
        <f t="shared" si="0"/>
        <v>Valorisation des graisses animales en énergie = 47 kt (SIFCO)</v>
      </c>
      <c r="O4" s="10" t="str">
        <f>Etiquettes!$K$15</f>
        <v>Approximative</v>
      </c>
      <c r="P4" s="111" t="str">
        <f>Etiquettes!$H$16</f>
        <v>Données collectées</v>
      </c>
      <c r="Q4" s="111" t="str">
        <f>Etiquettes!$H$17</f>
        <v>Donnée collectée (valeur du flux ou coefficient)</v>
      </c>
      <c r="S4" s="205"/>
    </row>
    <row r="5" spans="1:19">
      <c r="A5" t="str">
        <f>Produits!$B$27</f>
        <v>Protéines animales transformées</v>
      </c>
      <c r="B5" t="str">
        <f>Secteurs!$B$20</f>
        <v>Autres IAA</v>
      </c>
      <c r="C5" s="67">
        <f>'Coproduits - SIFCO'!F14*'Coproduits - SIFCO'!AA3*(1-'Coproduits - SIFCO'!C32)/10^3</f>
        <v>7.5707986033424728</v>
      </c>
      <c r="D5" s="72"/>
      <c r="E5" s="27" t="str">
        <f>Etiquettes!$C$7</f>
        <v>kt</v>
      </c>
      <c r="F5" s="111" t="str">
        <f>Etiquettes!$C$4</f>
        <v>Viande bovine</v>
      </c>
      <c r="G5" s="27">
        <f>Etiquettes!$H$6</f>
        <v>2015</v>
      </c>
      <c r="H5" s="27" t="str">
        <f>Etiquettes!$C$5</f>
        <v>France entière</v>
      </c>
      <c r="I5" s="111" t="s">
        <v>505</v>
      </c>
      <c r="J5" t="s">
        <v>604</v>
      </c>
      <c r="K5" t="s">
        <v>208</v>
      </c>
      <c r="L5" s="111" t="str" cm="1">
        <f t="array" aca="1" ref="L5" ca="1">[1]!NOM_FEUILLE('Coproduits - SIFCO'!$A$1)</f>
        <v>Coproduits - SIFCO</v>
      </c>
      <c r="M5" s="27" t="str">
        <f>Etiquettes!$H$11</f>
        <v>Volume</v>
      </c>
      <c r="N5" s="112" t="str">
        <f t="shared" si="0"/>
        <v>Valorisation des PAT par les autres IAA = 8 kt (SIFCO)</v>
      </c>
      <c r="O5" s="10" t="str">
        <f>Etiquettes!$K$15</f>
        <v>Approximative</v>
      </c>
      <c r="P5" s="111" t="str">
        <f>Etiquettes!$H$16</f>
        <v>Données collectées</v>
      </c>
      <c r="Q5" s="111" t="str">
        <f>Etiquettes!$H$17</f>
        <v>Donnée collectée (valeur du flux ou coefficient)</v>
      </c>
      <c r="S5" s="205"/>
    </row>
    <row r="6" spans="1:19">
      <c r="A6" t="str">
        <f>Produits!$B$27</f>
        <v>Protéines animales transformées</v>
      </c>
      <c r="B6" t="str">
        <f>Secteurs!$B$22</f>
        <v>Alimentation animale rente</v>
      </c>
      <c r="C6" s="67">
        <f>'Coproduits - SIFCO'!I14*'Coproduits - SIFCO'!AA3*(1-'Coproduits - SIFCO'!C32)/10^3</f>
        <v>8.9548613287379943</v>
      </c>
      <c r="D6" s="72"/>
      <c r="E6" s="27" t="str">
        <f>Etiquettes!$C$7</f>
        <v>kt</v>
      </c>
      <c r="F6" s="111" t="str">
        <f>Etiquettes!$C$4</f>
        <v>Viande bovine</v>
      </c>
      <c r="G6" s="27">
        <f>Etiquettes!$H$6</f>
        <v>2015</v>
      </c>
      <c r="H6" s="27" t="str">
        <f>Etiquettes!$C$5</f>
        <v>France entière</v>
      </c>
      <c r="I6" s="111" t="s">
        <v>506</v>
      </c>
      <c r="J6" t="s">
        <v>604</v>
      </c>
      <c r="K6" t="s">
        <v>208</v>
      </c>
      <c r="L6" s="111" t="str" cm="1">
        <f t="array" aca="1" ref="L6" ca="1">[1]!NOM_FEUILLE('Coproduits - SIFCO'!$A$1)</f>
        <v>Coproduits - SIFCO</v>
      </c>
      <c r="M6" s="27" t="str">
        <f>Etiquettes!$H$11</f>
        <v>Volume</v>
      </c>
      <c r="N6" s="112" t="str">
        <f t="shared" si="0"/>
        <v>Valorisation des PAT en alimentation animale rente = 9 kt (SIFCO)</v>
      </c>
      <c r="O6" s="10" t="str">
        <f>Etiquettes!$K$15</f>
        <v>Approximative</v>
      </c>
      <c r="P6" s="111" t="str">
        <f>Etiquettes!$H$16</f>
        <v>Données collectées</v>
      </c>
      <c r="Q6" s="111" t="str">
        <f>Etiquettes!$H$17</f>
        <v>Donnée collectée (valeur du flux ou coefficient)</v>
      </c>
      <c r="S6" s="205"/>
    </row>
    <row r="7" spans="1:19">
      <c r="A7" t="str">
        <f>Produits!$B$27</f>
        <v>Protéines animales transformées</v>
      </c>
      <c r="B7" t="str">
        <f>Secteurs!$B$23</f>
        <v>Petfood</v>
      </c>
      <c r="C7" s="67">
        <f>'Coproduits - SIFCO'!L14*'Coproduits - SIFCO'!AA3*(1-'Coproduits - SIFCO'!C32)/10^3</f>
        <v>138.90393810023673</v>
      </c>
      <c r="D7" s="72"/>
      <c r="E7" s="27" t="str">
        <f>Etiquettes!$C$7</f>
        <v>kt</v>
      </c>
      <c r="F7" s="111" t="str">
        <f>Etiquettes!$C$4</f>
        <v>Viande bovine</v>
      </c>
      <c r="G7" s="27">
        <f>Etiquettes!$H$6</f>
        <v>2015</v>
      </c>
      <c r="H7" s="27" t="str">
        <f>Etiquettes!$C$5</f>
        <v>France entière</v>
      </c>
      <c r="I7" s="111" t="s">
        <v>507</v>
      </c>
      <c r="J7" t="s">
        <v>604</v>
      </c>
      <c r="K7" t="s">
        <v>208</v>
      </c>
      <c r="L7" s="111" t="str" cm="1">
        <f t="array" aca="1" ref="L7" ca="1">[1]!NOM_FEUILLE('Coproduits - SIFCO'!$A$1)</f>
        <v>Coproduits - SIFCO</v>
      </c>
      <c r="M7" s="27" t="str">
        <f>Etiquettes!$H$11</f>
        <v>Volume</v>
      </c>
      <c r="N7" s="112" t="str">
        <f t="shared" si="0"/>
        <v>Valorisation des PAT en petfood = 139 kt (SIFCO)</v>
      </c>
      <c r="O7" s="10" t="str">
        <f>Etiquettes!$K$15</f>
        <v>Approximative</v>
      </c>
      <c r="P7" s="111" t="str">
        <f>Etiquettes!$H$16</f>
        <v>Données collectées</v>
      </c>
      <c r="Q7" s="111" t="str">
        <f>Etiquettes!$H$17</f>
        <v>Donnée collectée (valeur du flux ou coefficient)</v>
      </c>
      <c r="S7" s="205"/>
    </row>
    <row r="8" spans="1:19">
      <c r="A8" t="str">
        <f>Produits!$B$27</f>
        <v>Protéines animales transformées</v>
      </c>
      <c r="B8" t="str">
        <f>Secteurs!$B$24</f>
        <v>Aquaculture</v>
      </c>
      <c r="C8" s="67">
        <f>'Coproduits - SIFCO'!O14*'Coproduits - SIFCO'!AA3*(1-'Coproduits - SIFCO'!C32)/10^3</f>
        <v>0</v>
      </c>
      <c r="D8" s="72"/>
      <c r="E8" s="27" t="str">
        <f>Etiquettes!$C$7</f>
        <v>kt</v>
      </c>
      <c r="F8" s="111" t="str">
        <f>Etiquettes!$C$4</f>
        <v>Viande bovine</v>
      </c>
      <c r="G8" s="27">
        <f>Etiquettes!$H$6</f>
        <v>2015</v>
      </c>
      <c r="H8" s="27" t="str">
        <f>Etiquettes!$C$5</f>
        <v>France entière</v>
      </c>
      <c r="I8" s="111" t="s">
        <v>508</v>
      </c>
      <c r="J8" t="s">
        <v>604</v>
      </c>
      <c r="K8" t="s">
        <v>208</v>
      </c>
      <c r="L8" s="111" t="str" cm="1">
        <f t="array" aca="1" ref="L8" ca="1">[1]!NOM_FEUILLE('Coproduits - SIFCO'!$A$1)</f>
        <v>Coproduits - SIFCO</v>
      </c>
      <c r="M8" s="27" t="str">
        <f>Etiquettes!$H$11</f>
        <v>Volume</v>
      </c>
      <c r="N8" s="112" t="str">
        <f t="shared" si="0"/>
        <v>Valorisation des PAT en aquaculture = 0 kt (SIFCO)</v>
      </c>
      <c r="O8" s="10" t="str">
        <f>Etiquettes!$K$15</f>
        <v>Approximative</v>
      </c>
      <c r="P8" s="111" t="str">
        <f>Etiquettes!$H$16</f>
        <v>Données collectées</v>
      </c>
      <c r="Q8" s="111" t="str">
        <f>Etiquettes!$H$17</f>
        <v>Donnée collectée (valeur du flux ou coefficient)</v>
      </c>
      <c r="S8" s="205"/>
    </row>
    <row r="9" spans="1:19">
      <c r="A9" t="str">
        <f>Produits!$B$27</f>
        <v>Protéines animales transformées</v>
      </c>
      <c r="B9" t="str">
        <f>Secteurs!$B$27</f>
        <v>Energie</v>
      </c>
      <c r="C9" s="67">
        <f>'Coproduits - SIFCO'!R14*'Coproduits - SIFCO'!AA3*(1-'Coproduits - SIFCO'!C32)/10^3</f>
        <v>0.60927274327325776</v>
      </c>
      <c r="D9" s="72"/>
      <c r="E9" s="27" t="str">
        <f>Etiquettes!$C$7</f>
        <v>kt</v>
      </c>
      <c r="F9" s="111" t="str">
        <f>Etiquettes!$C$4</f>
        <v>Viande bovine</v>
      </c>
      <c r="G9" s="27">
        <f>Etiquettes!$H$6</f>
        <v>2015</v>
      </c>
      <c r="H9" s="27" t="str">
        <f>Etiquettes!$C$5</f>
        <v>France entière</v>
      </c>
      <c r="I9" s="111" t="s">
        <v>509</v>
      </c>
      <c r="J9" t="s">
        <v>604</v>
      </c>
      <c r="K9" t="s">
        <v>208</v>
      </c>
      <c r="L9" s="111" t="str" cm="1">
        <f t="array" aca="1" ref="L9" ca="1">[1]!NOM_FEUILLE('Coproduits - SIFCO'!$A$1)</f>
        <v>Coproduits - SIFCO</v>
      </c>
      <c r="M9" s="27" t="str">
        <f>Etiquettes!$H$11</f>
        <v>Volume</v>
      </c>
      <c r="N9" s="112" t="str">
        <f t="shared" si="0"/>
        <v>Valorisation des PAT en énergie = 1 kt (SIFCO)</v>
      </c>
      <c r="O9" s="10" t="str">
        <f>Etiquettes!$K$15</f>
        <v>Approximative</v>
      </c>
      <c r="P9" s="111" t="str">
        <f>Etiquettes!$H$16</f>
        <v>Données collectées</v>
      </c>
      <c r="Q9" s="111" t="str">
        <f>Etiquettes!$H$17</f>
        <v>Donnée collectée (valeur du flux ou coefficient)</v>
      </c>
      <c r="S9" s="205"/>
    </row>
    <row r="10" spans="1:19">
      <c r="A10" t="str">
        <f>Produits!$B$27</f>
        <v>Protéines animales transformées</v>
      </c>
      <c r="B10" t="str">
        <f>Secteurs!$B$28</f>
        <v>Fertilisation</v>
      </c>
      <c r="C10" s="67">
        <f>'Coproduits - SIFCO'!U14*'Coproduits - SIFCO'!AA3*(1-'Coproduits - SIFCO'!C32)/10^3</f>
        <v>8.2533622908705393</v>
      </c>
      <c r="D10" s="72"/>
      <c r="E10" s="27" t="str">
        <f>Etiquettes!$C$7</f>
        <v>kt</v>
      </c>
      <c r="F10" s="111" t="str">
        <f>Etiquettes!$C$4</f>
        <v>Viande bovine</v>
      </c>
      <c r="G10" s="27">
        <f>Etiquettes!$H$6</f>
        <v>2015</v>
      </c>
      <c r="H10" s="27" t="str">
        <f>Etiquettes!$C$5</f>
        <v>France entière</v>
      </c>
      <c r="I10" s="111" t="s">
        <v>510</v>
      </c>
      <c r="J10" t="s">
        <v>604</v>
      </c>
      <c r="K10" t="s">
        <v>208</v>
      </c>
      <c r="L10" s="111" t="str" cm="1">
        <f t="array" aca="1" ref="L10" ca="1">[1]!NOM_FEUILLE('Coproduits - SIFCO'!$A$1)</f>
        <v>Coproduits - SIFCO</v>
      </c>
      <c r="M10" s="27" t="str">
        <f>Etiquettes!$H$11</f>
        <v>Volume</v>
      </c>
      <c r="N10" s="112" t="str">
        <f t="shared" si="0"/>
        <v>Valorisation des PAT en fertilisation = 8 kt (SIFCO)</v>
      </c>
      <c r="O10" s="10" t="str">
        <f>Etiquettes!$K$15</f>
        <v>Approximative</v>
      </c>
      <c r="P10" s="111" t="str">
        <f>Etiquettes!$H$16</f>
        <v>Données collectées</v>
      </c>
      <c r="Q10" s="111" t="str">
        <f>Etiquettes!$H$17</f>
        <v>Donnée collectée (valeur du flux ou coefficient)</v>
      </c>
      <c r="S10" s="205"/>
    </row>
    <row r="11" spans="1:19">
      <c r="A11" t="str">
        <f>Produits!$B$27</f>
        <v>Protéines animales transformées</v>
      </c>
      <c r="B11" t="str">
        <f>Secteurs!$B$29</f>
        <v>Autres industries</v>
      </c>
      <c r="C11" s="67">
        <f>'Coproduits - SIFCO'!X14*'Coproduits - SIFCO'!AA3*(1-'Coproduits - SIFCO'!C32)/10^3</f>
        <v>0.59412446300174715</v>
      </c>
      <c r="D11" s="72"/>
      <c r="E11" s="27" t="str">
        <f>Etiquettes!$C$7</f>
        <v>kt</v>
      </c>
      <c r="F11" s="111" t="str">
        <f>Etiquettes!$C$4</f>
        <v>Viande bovine</v>
      </c>
      <c r="G11" s="27">
        <f>Etiquettes!$H$6</f>
        <v>2015</v>
      </c>
      <c r="H11" s="27" t="str">
        <f>Etiquettes!$C$5</f>
        <v>France entière</v>
      </c>
      <c r="I11" s="111" t="s">
        <v>511</v>
      </c>
      <c r="J11" t="s">
        <v>604</v>
      </c>
      <c r="K11" t="s">
        <v>208</v>
      </c>
      <c r="L11" s="111" t="str" cm="1">
        <f t="array" aca="1" ref="L11" ca="1">[1]!NOM_FEUILLE('Coproduits - SIFCO'!$A$1)</f>
        <v>Coproduits - SIFCO</v>
      </c>
      <c r="M11" s="27" t="str">
        <f>Etiquettes!$H$11</f>
        <v>Volume</v>
      </c>
      <c r="N11" s="112" t="str">
        <f t="shared" si="0"/>
        <v>Valorisation des PAT par les autres industries = 1 kt (SIFCO)</v>
      </c>
      <c r="O11" s="10" t="str">
        <f>Etiquettes!$K$15</f>
        <v>Approximative</v>
      </c>
      <c r="P11" s="111" t="str">
        <f>Etiquettes!$H$16</f>
        <v>Données collectées</v>
      </c>
      <c r="Q11" s="111" t="str">
        <f>Etiquettes!$H$17</f>
        <v>Donnée collectée (valeur du flux ou coefficient)</v>
      </c>
      <c r="S11" s="205"/>
    </row>
    <row r="12" spans="1:19">
      <c r="A12" t="str">
        <f>Produits!$B$27</f>
        <v>Protéines animales transformées</v>
      </c>
      <c r="B12" t="str">
        <f>Secteurs!$B$30</f>
        <v>Autres usages (ou usages inconnus)</v>
      </c>
      <c r="C12" s="67">
        <f>'Coproduits - SIFCO'!AA14*'Coproduits - SIFCO'!AA3*(1-'Coproduits - SIFCO'!C32)/10^3</f>
        <v>0</v>
      </c>
      <c r="D12" s="72"/>
      <c r="E12" s="27" t="str">
        <f>Etiquettes!$C$7</f>
        <v>kt</v>
      </c>
      <c r="F12" s="111" t="str">
        <f>Etiquettes!$C$4</f>
        <v>Viande bovine</v>
      </c>
      <c r="G12" s="27">
        <f>Etiquettes!$H$6</f>
        <v>2015</v>
      </c>
      <c r="H12" s="27" t="str">
        <f>Etiquettes!$C$5</f>
        <v>France entière</v>
      </c>
      <c r="I12" s="111" t="s">
        <v>512</v>
      </c>
      <c r="J12" t="s">
        <v>604</v>
      </c>
      <c r="K12" t="s">
        <v>208</v>
      </c>
      <c r="L12" s="111" t="str" cm="1">
        <f t="array" aca="1" ref="L12" ca="1">[1]!NOM_FEUILLE('Coproduits - SIFCO'!$A$1)</f>
        <v>Coproduits - SIFCO</v>
      </c>
      <c r="M12" s="27" t="str">
        <f>Etiquettes!$H$11</f>
        <v>Volume</v>
      </c>
      <c r="N12" s="112" t="str">
        <f t="shared" si="0"/>
        <v>Valorisation des PAT pour d'autres usages = 0 kt (SIFCO)</v>
      </c>
      <c r="O12" s="10" t="str">
        <f>Etiquettes!$K$15</f>
        <v>Approximative</v>
      </c>
      <c r="P12" s="111" t="str">
        <f>Etiquettes!$H$16</f>
        <v>Données collectées</v>
      </c>
      <c r="Q12" s="111" t="str">
        <f>Etiquettes!$H$17</f>
        <v>Donnée collectée (valeur du flux ou coefficient)</v>
      </c>
      <c r="S12" s="205"/>
    </row>
    <row r="13" spans="1:19">
      <c r="A13" t="str">
        <f>Produits!$B$28</f>
        <v>Corps gras animaux</v>
      </c>
      <c r="B13" t="str">
        <f>Secteurs!$B$20</f>
        <v>Autres IAA</v>
      </c>
      <c r="C13" s="67">
        <f>'Coproduits - SIFCO'!F15*'Coproduits - SIFCO'!AA3*(1-'Coproduits - SIFCO'!C33)/10^3</f>
        <v>5.8953121846694181</v>
      </c>
      <c r="D13" s="72"/>
      <c r="E13" s="27" t="str">
        <f>Etiquettes!$C$7</f>
        <v>kt</v>
      </c>
      <c r="F13" s="111" t="str">
        <f>Etiquettes!$C$4</f>
        <v>Viande bovine</v>
      </c>
      <c r="G13" s="27">
        <f>Etiquettes!$H$6</f>
        <v>2015</v>
      </c>
      <c r="H13" s="27" t="str">
        <f>Etiquettes!$C$5</f>
        <v>France entière</v>
      </c>
      <c r="I13" s="111" t="s">
        <v>513</v>
      </c>
      <c r="J13" t="s">
        <v>604</v>
      </c>
      <c r="K13" t="s">
        <v>208</v>
      </c>
      <c r="L13" s="111" t="str" cm="1">
        <f t="array" aca="1" ref="L13" ca="1">[1]!NOM_FEUILLE('Coproduits - SIFCO'!$A$1)</f>
        <v>Coproduits - SIFCO</v>
      </c>
      <c r="M13" s="27" t="str">
        <f>Etiquettes!$H$11</f>
        <v>Volume</v>
      </c>
      <c r="N13" s="112" t="str">
        <f t="shared" si="0"/>
        <v>Valorisation des CGA par les autres IAA = 6 kt (SIFCO)</v>
      </c>
      <c r="O13" s="10" t="str">
        <f>Etiquettes!$K$15</f>
        <v>Approximative</v>
      </c>
      <c r="P13" s="111" t="str">
        <f>Etiquettes!$H$16</f>
        <v>Données collectées</v>
      </c>
      <c r="Q13" s="111" t="str">
        <f>Etiquettes!$H$17</f>
        <v>Donnée collectée (valeur du flux ou coefficient)</v>
      </c>
      <c r="S13" s="205"/>
    </row>
    <row r="14" spans="1:19">
      <c r="A14" t="str">
        <f>Produits!$B$28</f>
        <v>Corps gras animaux</v>
      </c>
      <c r="B14" t="str">
        <f>Secteurs!$B$22</f>
        <v>Alimentation animale rente</v>
      </c>
      <c r="C14" s="67">
        <f>'Coproduits - SIFCO'!I15*'Coproduits - SIFCO'!AA3*(1-'Coproduits - SIFCO'!C33)/10^3</f>
        <v>10.697352856433023</v>
      </c>
      <c r="D14" s="72"/>
      <c r="E14" s="27" t="str">
        <f>Etiquettes!$C$7</f>
        <v>kt</v>
      </c>
      <c r="F14" s="111" t="str">
        <f>Etiquettes!$C$4</f>
        <v>Viande bovine</v>
      </c>
      <c r="G14" s="27">
        <f>Etiquettes!$H$6</f>
        <v>2015</v>
      </c>
      <c r="H14" s="27" t="str">
        <f>Etiquettes!$C$5</f>
        <v>France entière</v>
      </c>
      <c r="I14" s="111" t="s">
        <v>514</v>
      </c>
      <c r="J14" t="s">
        <v>604</v>
      </c>
      <c r="K14" t="s">
        <v>208</v>
      </c>
      <c r="L14" s="111" t="str" cm="1">
        <f t="array" aca="1" ref="L14" ca="1">[1]!NOM_FEUILLE('Coproduits - SIFCO'!$A$1)</f>
        <v>Coproduits - SIFCO</v>
      </c>
      <c r="M14" s="27" t="str">
        <f>Etiquettes!$H$11</f>
        <v>Volume</v>
      </c>
      <c r="N14" s="112" t="str">
        <f t="shared" si="0"/>
        <v>Valorisation des CGA en alimentation animale rente = 11 kt (SIFCO)</v>
      </c>
      <c r="O14" s="10" t="str">
        <f>Etiquettes!$K$15</f>
        <v>Approximative</v>
      </c>
      <c r="P14" s="111" t="str">
        <f>Etiquettes!$H$16</f>
        <v>Données collectées</v>
      </c>
      <c r="Q14" s="111" t="str">
        <f>Etiquettes!$H$17</f>
        <v>Donnée collectée (valeur du flux ou coefficient)</v>
      </c>
      <c r="S14" s="205"/>
    </row>
    <row r="15" spans="1:19">
      <c r="A15" t="str">
        <f>Produits!$B$28</f>
        <v>Corps gras animaux</v>
      </c>
      <c r="B15" t="str">
        <f>Secteurs!$B$23</f>
        <v>Petfood</v>
      </c>
      <c r="C15" s="67">
        <f>'Coproduits - SIFCO'!L15*'Coproduits - SIFCO'!AA3*(1-'Coproduits - SIFCO'!C33)/10^3</f>
        <v>6.2215928272193235</v>
      </c>
      <c r="D15" s="72"/>
      <c r="E15" s="27" t="str">
        <f>Etiquettes!$C$7</f>
        <v>kt</v>
      </c>
      <c r="F15" s="111" t="str">
        <f>Etiquettes!$C$4</f>
        <v>Viande bovine</v>
      </c>
      <c r="G15" s="27">
        <f>Etiquettes!$H$6</f>
        <v>2015</v>
      </c>
      <c r="H15" s="27" t="str">
        <f>Etiquettes!$C$5</f>
        <v>France entière</v>
      </c>
      <c r="I15" s="111" t="s">
        <v>515</v>
      </c>
      <c r="J15" t="s">
        <v>604</v>
      </c>
      <c r="K15" t="s">
        <v>208</v>
      </c>
      <c r="L15" s="111" t="str" cm="1">
        <f t="array" aca="1" ref="L15" ca="1">[1]!NOM_FEUILLE('Coproduits - SIFCO'!$A$1)</f>
        <v>Coproduits - SIFCO</v>
      </c>
      <c r="M15" s="27" t="str">
        <f>Etiquettes!$H$11</f>
        <v>Volume</v>
      </c>
      <c r="N15" s="112" t="str">
        <f t="shared" si="0"/>
        <v>Valorisation des CGA en petfood = 6 kt (SIFCO)</v>
      </c>
      <c r="O15" s="10" t="str">
        <f>Etiquettes!$K$15</f>
        <v>Approximative</v>
      </c>
      <c r="P15" s="111" t="str">
        <f>Etiquettes!$H$16</f>
        <v>Données collectées</v>
      </c>
      <c r="Q15" s="111" t="str">
        <f>Etiquettes!$H$17</f>
        <v>Donnée collectée (valeur du flux ou coefficient)</v>
      </c>
      <c r="S15" s="205"/>
    </row>
    <row r="16" spans="1:19">
      <c r="A16" t="str">
        <f>Produits!$B$28</f>
        <v>Corps gras animaux</v>
      </c>
      <c r="B16" t="str">
        <f>Secteurs!$B$24</f>
        <v>Aquaculture</v>
      </c>
      <c r="C16" s="67">
        <f>'Coproduits - SIFCO'!O15*'Coproduits - SIFCO'!AA3*(1-'Coproduits - SIFCO'!C33)/10^3</f>
        <v>0</v>
      </c>
      <c r="D16" s="72"/>
      <c r="E16" s="27" t="str">
        <f>Etiquettes!$C$7</f>
        <v>kt</v>
      </c>
      <c r="F16" s="111" t="str">
        <f>Etiquettes!$C$4</f>
        <v>Viande bovine</v>
      </c>
      <c r="G16" s="27">
        <f>Etiquettes!$H$6</f>
        <v>2015</v>
      </c>
      <c r="H16" s="27" t="str">
        <f>Etiquettes!$C$5</f>
        <v>France entière</v>
      </c>
      <c r="I16" s="111" t="s">
        <v>516</v>
      </c>
      <c r="J16" t="s">
        <v>604</v>
      </c>
      <c r="K16" t="s">
        <v>208</v>
      </c>
      <c r="L16" s="111" t="str" cm="1">
        <f t="array" aca="1" ref="L16" ca="1">[1]!NOM_FEUILLE('Coproduits - SIFCO'!$A$1)</f>
        <v>Coproduits - SIFCO</v>
      </c>
      <c r="M16" s="27" t="str">
        <f>Etiquettes!$H$11</f>
        <v>Volume</v>
      </c>
      <c r="N16" s="112" t="str">
        <f t="shared" si="0"/>
        <v>Valorisation des CGA en aquaculture = 0 kt (SIFCO)</v>
      </c>
      <c r="O16" s="10" t="str">
        <f>Etiquettes!$K$15</f>
        <v>Approximative</v>
      </c>
      <c r="P16" s="111" t="str">
        <f>Etiquettes!$H$16</f>
        <v>Données collectées</v>
      </c>
      <c r="Q16" s="111" t="str">
        <f>Etiquettes!$H$17</f>
        <v>Donnée collectée (valeur du flux ou coefficient)</v>
      </c>
      <c r="S16" s="205"/>
    </row>
    <row r="17" spans="1:19">
      <c r="A17" t="str">
        <f>Produits!$B$28</f>
        <v>Corps gras animaux</v>
      </c>
      <c r="B17" t="str">
        <f>Secteurs!$B$27</f>
        <v>Energie</v>
      </c>
      <c r="C17" s="67">
        <f>'Coproduits - SIFCO'!R15*'Coproduits - SIFCO'!AA3*(1-'Coproduits - SIFCO'!C33)/10^3</f>
        <v>5.9589675495823737</v>
      </c>
      <c r="D17" s="72"/>
      <c r="E17" s="27" t="str">
        <f>Etiquettes!$C$7</f>
        <v>kt</v>
      </c>
      <c r="F17" s="111" t="str">
        <f>Etiquettes!$C$4</f>
        <v>Viande bovine</v>
      </c>
      <c r="G17" s="27">
        <f>Etiquettes!$H$6</f>
        <v>2015</v>
      </c>
      <c r="H17" s="27" t="str">
        <f>Etiquettes!$C$5</f>
        <v>France entière</v>
      </c>
      <c r="I17" s="111" t="s">
        <v>517</v>
      </c>
      <c r="J17" t="s">
        <v>604</v>
      </c>
      <c r="K17" t="s">
        <v>208</v>
      </c>
      <c r="L17" s="111" t="str" cm="1">
        <f t="array" aca="1" ref="L17" ca="1">[1]!NOM_FEUILLE('Coproduits - SIFCO'!$A$1)</f>
        <v>Coproduits - SIFCO</v>
      </c>
      <c r="M17" s="27" t="str">
        <f>Etiquettes!$H$11</f>
        <v>Volume</v>
      </c>
      <c r="N17" s="112" t="str">
        <f t="shared" si="0"/>
        <v>Valorisation des CGA en énergie = 6 kt (SIFCO)</v>
      </c>
      <c r="O17" s="10" t="str">
        <f>Etiquettes!$K$15</f>
        <v>Approximative</v>
      </c>
      <c r="P17" s="111" t="str">
        <f>Etiquettes!$H$16</f>
        <v>Données collectées</v>
      </c>
      <c r="Q17" s="111" t="str">
        <f>Etiquettes!$H$17</f>
        <v>Donnée collectée (valeur du flux ou coefficient)</v>
      </c>
      <c r="S17" s="205"/>
    </row>
    <row r="18" spans="1:19">
      <c r="A18" t="str">
        <f>Produits!$B$28</f>
        <v>Corps gras animaux</v>
      </c>
      <c r="B18" t="str">
        <f>Secteurs!$B$29</f>
        <v>Autres industries</v>
      </c>
      <c r="C18" s="67">
        <f>'Coproduits - SIFCO'!X15*'Coproduits - SIFCO'!AA3*(1-'Coproduits - SIFCO'!C33)/10^3</f>
        <v>24.51369353394486</v>
      </c>
      <c r="D18" s="72"/>
      <c r="E18" s="27" t="str">
        <f>Etiquettes!$C$7</f>
        <v>kt</v>
      </c>
      <c r="F18" s="111" t="str">
        <f>Etiquettes!$C$4</f>
        <v>Viande bovine</v>
      </c>
      <c r="G18" s="27">
        <f>Etiquettes!$H$6</f>
        <v>2015</v>
      </c>
      <c r="H18" s="27" t="str">
        <f>Etiquettes!$C$5</f>
        <v>France entière</v>
      </c>
      <c r="I18" s="111" t="s">
        <v>518</v>
      </c>
      <c r="J18" t="s">
        <v>604</v>
      </c>
      <c r="K18" t="s">
        <v>208</v>
      </c>
      <c r="L18" s="111" t="str" cm="1">
        <f t="array" aca="1" ref="L18" ca="1">[1]!NOM_FEUILLE('Coproduits - SIFCO'!$A$1)</f>
        <v>Coproduits - SIFCO</v>
      </c>
      <c r="M18" s="27" t="str">
        <f>Etiquettes!$H$11</f>
        <v>Volume</v>
      </c>
      <c r="N18" s="112" t="str">
        <f t="shared" si="0"/>
        <v>Valorisation des CGA par les autres industries = 25 kt (SIFCO)</v>
      </c>
      <c r="O18" s="10" t="str">
        <f>Etiquettes!$K$15</f>
        <v>Approximative</v>
      </c>
      <c r="P18" s="111" t="str">
        <f>Etiquettes!$H$16</f>
        <v>Données collectées</v>
      </c>
      <c r="Q18" s="111" t="str">
        <f>Etiquettes!$H$17</f>
        <v>Donnée collectée (valeur du flux ou coefficient)</v>
      </c>
      <c r="S18" s="205"/>
    </row>
    <row r="19" spans="1:19">
      <c r="A19" t="str">
        <f>Produits!$B$28</f>
        <v>Corps gras animaux</v>
      </c>
      <c r="B19" t="str">
        <f>Secteurs!$B$30</f>
        <v>Autres usages (ou usages inconnus)</v>
      </c>
      <c r="C19" s="67">
        <f>'Coproduits - SIFCO'!AA15*'Coproduits - SIFCO'!AA3*(1-'Coproduits - SIFCO'!C33)/10^3</f>
        <v>0</v>
      </c>
      <c r="D19" s="72"/>
      <c r="E19" s="27" t="str">
        <f>Etiquettes!$C$7</f>
        <v>kt</v>
      </c>
      <c r="F19" s="111" t="str">
        <f>Etiquettes!$C$4</f>
        <v>Viande bovine</v>
      </c>
      <c r="G19" s="27">
        <f>Etiquettes!$H$6</f>
        <v>2015</v>
      </c>
      <c r="H19" s="27" t="str">
        <f>Etiquettes!$C$5</f>
        <v>France entière</v>
      </c>
      <c r="I19" s="111" t="s">
        <v>519</v>
      </c>
      <c r="J19" t="s">
        <v>604</v>
      </c>
      <c r="K19" t="s">
        <v>208</v>
      </c>
      <c r="L19" s="111" t="str" cm="1">
        <f t="array" aca="1" ref="L19" ca="1">[1]!NOM_FEUILLE('Coproduits - SIFCO'!$A$1)</f>
        <v>Coproduits - SIFCO</v>
      </c>
      <c r="M19" s="27" t="str">
        <f>Etiquettes!$H$11</f>
        <v>Volume</v>
      </c>
      <c r="N19" s="112" t="str">
        <f t="shared" si="0"/>
        <v>Valorisation des CGA pour d'autres usages = 0 kt (SIFCO)</v>
      </c>
      <c r="O19" s="10" t="str">
        <f>Etiquettes!$K$15</f>
        <v>Approximative</v>
      </c>
      <c r="P19" s="111" t="str">
        <f>Etiquettes!$H$16</f>
        <v>Données collectées</v>
      </c>
      <c r="Q19" s="111" t="str">
        <f>Etiquettes!$H$17</f>
        <v>Donnée collectée (valeur du flux ou coefficient)</v>
      </c>
      <c r="S19" s="205"/>
    </row>
    <row r="20" spans="1:19">
      <c r="A20" t="str">
        <f>Produits!$B$24</f>
        <v>Farines animales</v>
      </c>
      <c r="B20" t="str">
        <f>Secteurs!$B$27</f>
        <v>Energie</v>
      </c>
      <c r="C20" s="67">
        <f>'Coproduits - SIFCO'!G19*'Coproduits - SIFCO'!AB3/10^3</f>
        <v>70.757978152866499</v>
      </c>
      <c r="D20" s="72"/>
      <c r="E20" s="27" t="str">
        <f>Etiquettes!$C$7</f>
        <v>kt</v>
      </c>
      <c r="F20" s="111" t="str">
        <f>Etiquettes!$C$4</f>
        <v>Viande bovine</v>
      </c>
      <c r="G20" s="27">
        <f>Etiquettes!$I$6</f>
        <v>2019</v>
      </c>
      <c r="H20" s="27" t="str">
        <f>Etiquettes!$C$5</f>
        <v>France entière</v>
      </c>
      <c r="I20" s="111" t="s">
        <v>502</v>
      </c>
      <c r="J20" t="s">
        <v>604</v>
      </c>
      <c r="K20" t="s">
        <v>208</v>
      </c>
      <c r="L20" s="111" t="str" cm="1">
        <f t="array" aca="1" ref="L20" ca="1">[1]!NOM_FEUILLE('Coproduits - SIFCO'!$A$1)</f>
        <v>Coproduits - SIFCO</v>
      </c>
      <c r="M20" s="27" t="str">
        <f>Etiquettes!$H$11</f>
        <v>Volume</v>
      </c>
      <c r="N20" s="112" t="str">
        <f t="shared" si="0"/>
        <v>Valorisation des farines animales en énergie = 71 kt (SIFCO)</v>
      </c>
      <c r="O20" s="10" t="str">
        <f>Etiquettes!$K$15</f>
        <v>Approximative</v>
      </c>
      <c r="P20" s="111" t="str">
        <f>Etiquettes!$H$16</f>
        <v>Données collectées</v>
      </c>
      <c r="Q20" s="111" t="str">
        <f>Etiquettes!$H$17</f>
        <v>Donnée collectée (valeur du flux ou coefficient)</v>
      </c>
      <c r="S20" s="205" t="s">
        <v>229</v>
      </c>
    </row>
    <row r="21" spans="1:19">
      <c r="A21" t="str">
        <f>Produits!$B$24</f>
        <v>Farines animales</v>
      </c>
      <c r="B21" t="str">
        <f>Secteurs!$B$28</f>
        <v>Fertilisation</v>
      </c>
      <c r="C21" s="67">
        <f>'Coproduits - SIFCO'!J19*'Coproduits - SIFCO'!AB3/10^3</f>
        <v>18.215236838710265</v>
      </c>
      <c r="D21" s="72"/>
      <c r="E21" s="27" t="str">
        <f>Etiquettes!$C$7</f>
        <v>kt</v>
      </c>
      <c r="F21" s="111" t="str">
        <f>Etiquettes!$C$4</f>
        <v>Viande bovine</v>
      </c>
      <c r="G21" s="27">
        <f>Etiquettes!$I$6</f>
        <v>2019</v>
      </c>
      <c r="H21" s="27" t="str">
        <f>Etiquettes!$C$5</f>
        <v>France entière</v>
      </c>
      <c r="I21" s="111" t="s">
        <v>503</v>
      </c>
      <c r="J21" t="s">
        <v>604</v>
      </c>
      <c r="K21" t="s">
        <v>208</v>
      </c>
      <c r="L21" s="111" t="str" cm="1">
        <f t="array" aca="1" ref="L21" ca="1">[1]!NOM_FEUILLE('Coproduits - SIFCO'!$A$1)</f>
        <v>Coproduits - SIFCO</v>
      </c>
      <c r="M21" s="27" t="str">
        <f>Etiquettes!$H$11</f>
        <v>Volume</v>
      </c>
      <c r="N21" s="112" t="str">
        <f t="shared" si="0"/>
        <v>Valorisation des farines animales en fertilisation = 18 kt (SIFCO)</v>
      </c>
      <c r="O21" s="10" t="str">
        <f>Etiquettes!$K$15</f>
        <v>Approximative</v>
      </c>
      <c r="P21" s="111" t="str">
        <f>Etiquettes!$H$16</f>
        <v>Données collectées</v>
      </c>
      <c r="Q21" s="111" t="str">
        <f>Etiquettes!$H$17</f>
        <v>Donnée collectée (valeur du flux ou coefficient)</v>
      </c>
      <c r="S21" s="205"/>
    </row>
    <row r="22" spans="1:19">
      <c r="A22" t="str">
        <f>Produits!$B$25</f>
        <v>Graisses animales</v>
      </c>
      <c r="B22" t="str">
        <f>Secteurs!$B$27</f>
        <v>Energie</v>
      </c>
      <c r="C22" s="67">
        <f>'Coproduits - SIFCO'!G20*'Coproduits - SIFCO'!AB3/10^3</f>
        <v>38.991026018869469</v>
      </c>
      <c r="D22" s="72"/>
      <c r="E22" s="27" t="str">
        <f>Etiquettes!$C$7</f>
        <v>kt</v>
      </c>
      <c r="F22" s="111" t="str">
        <f>Etiquettes!$C$4</f>
        <v>Viande bovine</v>
      </c>
      <c r="G22" s="27">
        <f>Etiquettes!$I$6</f>
        <v>2019</v>
      </c>
      <c r="H22" s="27" t="str">
        <f>Etiquettes!$C$5</f>
        <v>France entière</v>
      </c>
      <c r="I22" s="111" t="s">
        <v>504</v>
      </c>
      <c r="J22" t="s">
        <v>604</v>
      </c>
      <c r="K22" t="s">
        <v>208</v>
      </c>
      <c r="L22" s="111" t="str" cm="1">
        <f t="array" aca="1" ref="L22" ca="1">[1]!NOM_FEUILLE('Coproduits - SIFCO'!$A$1)</f>
        <v>Coproduits - SIFCO</v>
      </c>
      <c r="M22" s="27" t="str">
        <f>Etiquettes!$H$11</f>
        <v>Volume</v>
      </c>
      <c r="N22" s="112" t="str">
        <f t="shared" si="0"/>
        <v>Valorisation des graisses animales en énergie = 39 kt (SIFCO)</v>
      </c>
      <c r="O22" s="10" t="str">
        <f>Etiquettes!$K$15</f>
        <v>Approximative</v>
      </c>
      <c r="P22" s="111" t="str">
        <f>Etiquettes!$H$16</f>
        <v>Données collectées</v>
      </c>
      <c r="Q22" s="111" t="str">
        <f>Etiquettes!$H$17</f>
        <v>Donnée collectée (valeur du flux ou coefficient)</v>
      </c>
      <c r="S22" s="205"/>
    </row>
    <row r="23" spans="1:19">
      <c r="A23" t="str">
        <f>Produits!$B$27</f>
        <v>Protéines animales transformées</v>
      </c>
      <c r="B23" t="str">
        <f>Secteurs!$B$20</f>
        <v>Autres IAA</v>
      </c>
      <c r="C23" s="67">
        <f>'Coproduits - SIFCO'!G14*'Coproduits - SIFCO'!AB3*(1-'Coproduits - SIFCO'!D32)/10^3</f>
        <v>6.0340707362979193</v>
      </c>
      <c r="D23" s="72"/>
      <c r="E23" s="27" t="str">
        <f>Etiquettes!$C$7</f>
        <v>kt</v>
      </c>
      <c r="F23" s="111" t="str">
        <f>Etiquettes!$C$4</f>
        <v>Viande bovine</v>
      </c>
      <c r="G23" s="27">
        <f>Etiquettes!$I$6</f>
        <v>2019</v>
      </c>
      <c r="H23" s="27" t="str">
        <f>Etiquettes!$C$5</f>
        <v>France entière</v>
      </c>
      <c r="I23" s="111" t="s">
        <v>505</v>
      </c>
      <c r="J23" t="s">
        <v>604</v>
      </c>
      <c r="K23" t="s">
        <v>208</v>
      </c>
      <c r="L23" s="111" t="str" cm="1">
        <f t="array" aca="1" ref="L23" ca="1">[1]!NOM_FEUILLE('Coproduits - SIFCO'!$A$1)</f>
        <v>Coproduits - SIFCO</v>
      </c>
      <c r="M23" s="27" t="str">
        <f>Etiquettes!$H$11</f>
        <v>Volume</v>
      </c>
      <c r="N23" s="112" t="str">
        <f t="shared" si="0"/>
        <v>Valorisation des PAT par les autres IAA = 6 kt (SIFCO)</v>
      </c>
      <c r="O23" s="10" t="str">
        <f>Etiquettes!$K$15</f>
        <v>Approximative</v>
      </c>
      <c r="P23" s="111" t="str">
        <f>Etiquettes!$H$16</f>
        <v>Données collectées</v>
      </c>
      <c r="Q23" s="111" t="str">
        <f>Etiquettes!$H$17</f>
        <v>Donnée collectée (valeur du flux ou coefficient)</v>
      </c>
      <c r="S23" s="205"/>
    </row>
    <row r="24" spans="1:19">
      <c r="A24" t="str">
        <f>Produits!$B$27</f>
        <v>Protéines animales transformées</v>
      </c>
      <c r="B24" t="str">
        <f>Secteurs!$B$22</f>
        <v>Alimentation animale rente</v>
      </c>
      <c r="C24" s="67">
        <f>'Coproduits - SIFCO'!J14*'Coproduits - SIFCO'!AB3*(1-'Coproduits - SIFCO'!D32)/10^3</f>
        <v>5.034474787833962</v>
      </c>
      <c r="D24" s="72"/>
      <c r="E24" s="27" t="str">
        <f>Etiquettes!$C$7</f>
        <v>kt</v>
      </c>
      <c r="F24" s="111" t="str">
        <f>Etiquettes!$C$4</f>
        <v>Viande bovine</v>
      </c>
      <c r="G24" s="27">
        <f>Etiquettes!$I$6</f>
        <v>2019</v>
      </c>
      <c r="H24" s="27" t="str">
        <f>Etiquettes!$C$5</f>
        <v>France entière</v>
      </c>
      <c r="I24" s="111" t="s">
        <v>506</v>
      </c>
      <c r="J24" t="s">
        <v>604</v>
      </c>
      <c r="K24" t="s">
        <v>208</v>
      </c>
      <c r="L24" s="111" t="str" cm="1">
        <f t="array" aca="1" ref="L24" ca="1">[1]!NOM_FEUILLE('Coproduits - SIFCO'!$A$1)</f>
        <v>Coproduits - SIFCO</v>
      </c>
      <c r="M24" s="27" t="str">
        <f>Etiquettes!$H$11</f>
        <v>Volume</v>
      </c>
      <c r="N24" s="112" t="str">
        <f t="shared" si="0"/>
        <v>Valorisation des PAT en alimentation animale rente = 5 kt (SIFCO)</v>
      </c>
      <c r="O24" s="10" t="str">
        <f>Etiquettes!$K$15</f>
        <v>Approximative</v>
      </c>
      <c r="P24" s="111" t="str">
        <f>Etiquettes!$H$16</f>
        <v>Données collectées</v>
      </c>
      <c r="Q24" s="111" t="str">
        <f>Etiquettes!$H$17</f>
        <v>Donnée collectée (valeur du flux ou coefficient)</v>
      </c>
      <c r="S24" s="205"/>
    </row>
    <row r="25" spans="1:19">
      <c r="A25" t="str">
        <f>Produits!$B$27</f>
        <v>Protéines animales transformées</v>
      </c>
      <c r="B25" t="str">
        <f>Secteurs!$B$23</f>
        <v>Petfood</v>
      </c>
      <c r="C25" s="67">
        <f>'Coproduits - SIFCO'!M14*'Coproduits - SIFCO'!AB3*(1-'Coproduits - SIFCO'!D32)/10^3</f>
        <v>94.121057197990268</v>
      </c>
      <c r="D25" s="72"/>
      <c r="E25" s="27" t="str">
        <f>Etiquettes!$C$7</f>
        <v>kt</v>
      </c>
      <c r="F25" s="111" t="str">
        <f>Etiquettes!$C$4</f>
        <v>Viande bovine</v>
      </c>
      <c r="G25" s="27">
        <f>Etiquettes!$I$6</f>
        <v>2019</v>
      </c>
      <c r="H25" s="27" t="str">
        <f>Etiquettes!$C$5</f>
        <v>France entière</v>
      </c>
      <c r="I25" s="111" t="s">
        <v>507</v>
      </c>
      <c r="J25" t="s">
        <v>604</v>
      </c>
      <c r="K25" t="s">
        <v>208</v>
      </c>
      <c r="L25" s="111" t="str" cm="1">
        <f t="array" aca="1" ref="L25" ca="1">[1]!NOM_FEUILLE('Coproduits - SIFCO'!$A$1)</f>
        <v>Coproduits - SIFCO</v>
      </c>
      <c r="M25" s="27" t="str">
        <f>Etiquettes!$H$11</f>
        <v>Volume</v>
      </c>
      <c r="N25" s="112" t="str">
        <f t="shared" si="0"/>
        <v>Valorisation des PAT en petfood = 94 kt (SIFCO)</v>
      </c>
      <c r="O25" s="10" t="str">
        <f>Etiquettes!$K$15</f>
        <v>Approximative</v>
      </c>
      <c r="P25" s="111" t="str">
        <f>Etiquettes!$H$16</f>
        <v>Données collectées</v>
      </c>
      <c r="Q25" s="111" t="str">
        <f>Etiquettes!$H$17</f>
        <v>Donnée collectée (valeur du flux ou coefficient)</v>
      </c>
      <c r="S25" s="205"/>
    </row>
    <row r="26" spans="1:19">
      <c r="A26" t="str">
        <f>Produits!$B$27</f>
        <v>Protéines animales transformées</v>
      </c>
      <c r="B26" t="str">
        <f>Secteurs!$B$24</f>
        <v>Aquaculture</v>
      </c>
      <c r="C26" s="67">
        <f>'Coproduits - SIFCO'!P14*'Coproduits - SIFCO'!AB3*(1-'Coproduits - SIFCO'!D32)/10^3</f>
        <v>2.8436001977237946</v>
      </c>
      <c r="D26" s="72"/>
      <c r="E26" s="27" t="str">
        <f>Etiquettes!$C$7</f>
        <v>kt</v>
      </c>
      <c r="F26" s="111" t="str">
        <f>Etiquettes!$C$4</f>
        <v>Viande bovine</v>
      </c>
      <c r="G26" s="27">
        <f>Etiquettes!$I$6</f>
        <v>2019</v>
      </c>
      <c r="H26" s="27" t="str">
        <f>Etiquettes!$C$5</f>
        <v>France entière</v>
      </c>
      <c r="I26" s="111" t="s">
        <v>508</v>
      </c>
      <c r="J26" t="s">
        <v>604</v>
      </c>
      <c r="K26" t="s">
        <v>208</v>
      </c>
      <c r="L26" s="111" t="str" cm="1">
        <f t="array" aca="1" ref="L26" ca="1">[1]!NOM_FEUILLE('Coproduits - SIFCO'!$A$1)</f>
        <v>Coproduits - SIFCO</v>
      </c>
      <c r="M26" s="27" t="str">
        <f>Etiquettes!$H$11</f>
        <v>Volume</v>
      </c>
      <c r="N26" s="112" t="str">
        <f t="shared" si="0"/>
        <v>Valorisation des PAT en aquaculture = 3 kt (SIFCO)</v>
      </c>
      <c r="O26" s="10" t="str">
        <f>Etiquettes!$K$15</f>
        <v>Approximative</v>
      </c>
      <c r="P26" s="111" t="str">
        <f>Etiquettes!$H$16</f>
        <v>Données collectées</v>
      </c>
      <c r="Q26" s="111" t="str">
        <f>Etiquettes!$H$17</f>
        <v>Donnée collectée (valeur du flux ou coefficient)</v>
      </c>
      <c r="S26" s="205"/>
    </row>
    <row r="27" spans="1:19">
      <c r="A27" t="str">
        <f>Produits!$B$27</f>
        <v>Protéines animales transformées</v>
      </c>
      <c r="B27" t="str">
        <f>Secteurs!$B$27</f>
        <v>Energie</v>
      </c>
      <c r="C27" s="67">
        <f>'Coproduits - SIFCO'!S14*'Coproduits - SIFCO'!AB3*(1-'Coproduits - SIFCO'!D32)/10^3</f>
        <v>0.20356869424420904</v>
      </c>
      <c r="D27" s="72"/>
      <c r="E27" s="27" t="str">
        <f>Etiquettes!$C$7</f>
        <v>kt</v>
      </c>
      <c r="F27" s="111" t="str">
        <f>Etiquettes!$C$4</f>
        <v>Viande bovine</v>
      </c>
      <c r="G27" s="27">
        <f>Etiquettes!$I$6</f>
        <v>2019</v>
      </c>
      <c r="H27" s="27" t="str">
        <f>Etiquettes!$C$5</f>
        <v>France entière</v>
      </c>
      <c r="I27" s="111" t="s">
        <v>509</v>
      </c>
      <c r="J27" t="s">
        <v>604</v>
      </c>
      <c r="K27" t="s">
        <v>208</v>
      </c>
      <c r="L27" s="111" t="str" cm="1">
        <f t="array" aca="1" ref="L27" ca="1">[1]!NOM_FEUILLE('Coproduits - SIFCO'!$A$1)</f>
        <v>Coproduits - SIFCO</v>
      </c>
      <c r="M27" s="27" t="str">
        <f>Etiquettes!$H$11</f>
        <v>Volume</v>
      </c>
      <c r="N27" s="112" t="str">
        <f t="shared" si="0"/>
        <v>Valorisation des PAT en énergie = 0 kt (SIFCO)</v>
      </c>
      <c r="O27" s="10" t="str">
        <f>Etiquettes!$K$15</f>
        <v>Approximative</v>
      </c>
      <c r="P27" s="111" t="str">
        <f>Etiquettes!$H$16</f>
        <v>Données collectées</v>
      </c>
      <c r="Q27" s="111" t="str">
        <f>Etiquettes!$H$17</f>
        <v>Donnée collectée (valeur du flux ou coefficient)</v>
      </c>
      <c r="S27" s="205"/>
    </row>
    <row r="28" spans="1:19">
      <c r="A28" t="str">
        <f>Produits!$B$27</f>
        <v>Protéines animales transformées</v>
      </c>
      <c r="B28" t="str">
        <f>Secteurs!$B$28</f>
        <v>Fertilisation</v>
      </c>
      <c r="C28" s="67">
        <f>'Coproduits - SIFCO'!V14*'Coproduits - SIFCO'!AB3*(1-'Coproduits - SIFCO'!D32)/10^3</f>
        <v>6.1659886072390684</v>
      </c>
      <c r="D28" s="72"/>
      <c r="E28" s="27" t="str">
        <f>Etiquettes!$C$7</f>
        <v>kt</v>
      </c>
      <c r="F28" s="111" t="str">
        <f>Etiquettes!$C$4</f>
        <v>Viande bovine</v>
      </c>
      <c r="G28" s="27">
        <f>Etiquettes!$I$6</f>
        <v>2019</v>
      </c>
      <c r="H28" s="27" t="str">
        <f>Etiquettes!$C$5</f>
        <v>France entière</v>
      </c>
      <c r="I28" s="111" t="s">
        <v>510</v>
      </c>
      <c r="J28" t="s">
        <v>604</v>
      </c>
      <c r="K28" t="s">
        <v>208</v>
      </c>
      <c r="L28" s="111" t="str" cm="1">
        <f t="array" aca="1" ref="L28" ca="1">[1]!NOM_FEUILLE('Coproduits - SIFCO'!$A$1)</f>
        <v>Coproduits - SIFCO</v>
      </c>
      <c r="M28" s="27" t="str">
        <f>Etiquettes!$H$11</f>
        <v>Volume</v>
      </c>
      <c r="N28" s="112" t="str">
        <f t="shared" si="0"/>
        <v>Valorisation des PAT en fertilisation = 6 kt (SIFCO)</v>
      </c>
      <c r="O28" s="10" t="str">
        <f>Etiquettes!$K$15</f>
        <v>Approximative</v>
      </c>
      <c r="P28" s="111" t="str">
        <f>Etiquettes!$H$16</f>
        <v>Données collectées</v>
      </c>
      <c r="Q28" s="111" t="str">
        <f>Etiquettes!$H$17</f>
        <v>Donnée collectée (valeur du flux ou coefficient)</v>
      </c>
      <c r="S28" s="205"/>
    </row>
    <row r="29" spans="1:19">
      <c r="A29" t="str">
        <f>Produits!$B$27</f>
        <v>Protéines animales transformées</v>
      </c>
      <c r="B29" t="str">
        <f>Secteurs!$B$29</f>
        <v>Autres industries</v>
      </c>
      <c r="C29" s="67">
        <f>'Coproduits - SIFCO'!Y14*'Coproduits - SIFCO'!AB3*(1-'Coproduits - SIFCO'!D32)/10^3</f>
        <v>0</v>
      </c>
      <c r="D29" s="72"/>
      <c r="E29" s="27" t="str">
        <f>Etiquettes!$C$7</f>
        <v>kt</v>
      </c>
      <c r="F29" s="111" t="str">
        <f>Etiquettes!$C$4</f>
        <v>Viande bovine</v>
      </c>
      <c r="G29" s="27">
        <f>Etiquettes!$I$6</f>
        <v>2019</v>
      </c>
      <c r="H29" s="27" t="str">
        <f>Etiquettes!$C$5</f>
        <v>France entière</v>
      </c>
      <c r="I29" s="111" t="s">
        <v>511</v>
      </c>
      <c r="J29" t="s">
        <v>604</v>
      </c>
      <c r="K29" t="s">
        <v>208</v>
      </c>
      <c r="L29" s="111" t="str" cm="1">
        <f t="array" aca="1" ref="L29" ca="1">[1]!NOM_FEUILLE('Coproduits - SIFCO'!$A$1)</f>
        <v>Coproduits - SIFCO</v>
      </c>
      <c r="M29" s="27" t="str">
        <f>Etiquettes!$H$11</f>
        <v>Volume</v>
      </c>
      <c r="N29" s="112" t="str">
        <f t="shared" si="0"/>
        <v>Valorisation des PAT par les autres industries = 0 kt (SIFCO)</v>
      </c>
      <c r="O29" s="10" t="str">
        <f>Etiquettes!$K$15</f>
        <v>Approximative</v>
      </c>
      <c r="P29" s="111" t="str">
        <f>Etiquettes!$H$16</f>
        <v>Données collectées</v>
      </c>
      <c r="Q29" s="111" t="str">
        <f>Etiquettes!$H$17</f>
        <v>Donnée collectée (valeur du flux ou coefficient)</v>
      </c>
      <c r="S29" s="205"/>
    </row>
    <row r="30" spans="1:19">
      <c r="A30" t="str">
        <f>Produits!$B$27</f>
        <v>Protéines animales transformées</v>
      </c>
      <c r="B30" t="str">
        <f>Secteurs!$B$30</f>
        <v>Autres usages (ou usages inconnus)</v>
      </c>
      <c r="C30" s="67">
        <f>'Coproduits - SIFCO'!AB14*'Coproduits - SIFCO'!AB3*(1-'Coproduits - SIFCO'!D32)/10^3</f>
        <v>0</v>
      </c>
      <c r="D30" s="72"/>
      <c r="E30" s="27" t="str">
        <f>Etiquettes!$C$7</f>
        <v>kt</v>
      </c>
      <c r="F30" s="111" t="str">
        <f>Etiquettes!$C$4</f>
        <v>Viande bovine</v>
      </c>
      <c r="G30" s="27">
        <f>Etiquettes!$I$6</f>
        <v>2019</v>
      </c>
      <c r="H30" s="27" t="str">
        <f>Etiquettes!$C$5</f>
        <v>France entière</v>
      </c>
      <c r="I30" s="111" t="s">
        <v>512</v>
      </c>
      <c r="J30" t="s">
        <v>604</v>
      </c>
      <c r="K30" t="s">
        <v>208</v>
      </c>
      <c r="L30" s="111" t="str" cm="1">
        <f t="array" aca="1" ref="L30" ca="1">[1]!NOM_FEUILLE('Coproduits - SIFCO'!$A$1)</f>
        <v>Coproduits - SIFCO</v>
      </c>
      <c r="M30" s="27" t="str">
        <f>Etiquettes!$H$11</f>
        <v>Volume</v>
      </c>
      <c r="N30" s="112" t="str">
        <f t="shared" si="0"/>
        <v>Valorisation des PAT pour d'autres usages = 0 kt (SIFCO)</v>
      </c>
      <c r="O30" s="10" t="str">
        <f>Etiquettes!$K$15</f>
        <v>Approximative</v>
      </c>
      <c r="P30" s="111" t="str">
        <f>Etiquettes!$H$16</f>
        <v>Données collectées</v>
      </c>
      <c r="Q30" s="111" t="str">
        <f>Etiquettes!$H$17</f>
        <v>Donnée collectée (valeur du flux ou coefficient)</v>
      </c>
      <c r="S30" s="205"/>
    </row>
    <row r="31" spans="1:19">
      <c r="A31" t="str">
        <f>Produits!$B$28</f>
        <v>Corps gras animaux</v>
      </c>
      <c r="B31" t="str">
        <f>Secteurs!$B$20</f>
        <v>Autres IAA</v>
      </c>
      <c r="C31" s="67">
        <f>'Coproduits - SIFCO'!G15*'Coproduits - SIFCO'!AB3*(1-'Coproduits - SIFCO'!D33)/10^3</f>
        <v>2.7073456503388464</v>
      </c>
      <c r="D31" s="72"/>
      <c r="E31" s="27" t="str">
        <f>Etiquettes!$C$7</f>
        <v>kt</v>
      </c>
      <c r="F31" s="111" t="str">
        <f>Etiquettes!$C$4</f>
        <v>Viande bovine</v>
      </c>
      <c r="G31" s="27">
        <f>Etiquettes!$I$6</f>
        <v>2019</v>
      </c>
      <c r="H31" s="27" t="str">
        <f>Etiquettes!$C$5</f>
        <v>France entière</v>
      </c>
      <c r="I31" s="111" t="s">
        <v>513</v>
      </c>
      <c r="J31" t="s">
        <v>604</v>
      </c>
      <c r="K31" t="s">
        <v>208</v>
      </c>
      <c r="L31" s="111" t="str" cm="1">
        <f t="array" aca="1" ref="L31" ca="1">[1]!NOM_FEUILLE('Coproduits - SIFCO'!$A$1)</f>
        <v>Coproduits - SIFCO</v>
      </c>
      <c r="M31" s="27" t="str">
        <f>Etiquettes!$H$11</f>
        <v>Volume</v>
      </c>
      <c r="N31" s="112" t="str">
        <f t="shared" si="0"/>
        <v>Valorisation des CGA par les autres IAA = 3 kt (SIFCO)</v>
      </c>
      <c r="O31" s="10" t="str">
        <f>Etiquettes!$K$15</f>
        <v>Approximative</v>
      </c>
      <c r="P31" s="111" t="str">
        <f>Etiquettes!$H$16</f>
        <v>Données collectées</v>
      </c>
      <c r="Q31" s="111" t="str">
        <f>Etiquettes!$H$17</f>
        <v>Donnée collectée (valeur du flux ou coefficient)</v>
      </c>
      <c r="S31" s="205"/>
    </row>
    <row r="32" spans="1:19">
      <c r="A32" t="str">
        <f>Produits!$B$28</f>
        <v>Corps gras animaux</v>
      </c>
      <c r="B32" t="str">
        <f>Secteurs!$B$22</f>
        <v>Alimentation animale rente</v>
      </c>
      <c r="C32" s="67">
        <f>'Coproduits - SIFCO'!J15*'Coproduits - SIFCO'!AB3*(1-'Coproduits - SIFCO'!D33)/10^3</f>
        <v>2.8847428211179968</v>
      </c>
      <c r="D32" s="72"/>
      <c r="E32" s="27" t="str">
        <f>Etiquettes!$C$7</f>
        <v>kt</v>
      </c>
      <c r="F32" s="111" t="str">
        <f>Etiquettes!$C$4</f>
        <v>Viande bovine</v>
      </c>
      <c r="G32" s="27">
        <f>Etiquettes!$I$6</f>
        <v>2019</v>
      </c>
      <c r="H32" s="27" t="str">
        <f>Etiquettes!$C$5</f>
        <v>France entière</v>
      </c>
      <c r="I32" s="111" t="s">
        <v>514</v>
      </c>
      <c r="J32" t="s">
        <v>604</v>
      </c>
      <c r="K32" t="s">
        <v>208</v>
      </c>
      <c r="L32" s="111" t="str" cm="1">
        <f t="array" aca="1" ref="L32" ca="1">[1]!NOM_FEUILLE('Coproduits - SIFCO'!$A$1)</f>
        <v>Coproduits - SIFCO</v>
      </c>
      <c r="M32" s="27" t="str">
        <f>Etiquettes!$H$11</f>
        <v>Volume</v>
      </c>
      <c r="N32" s="112" t="str">
        <f t="shared" si="0"/>
        <v>Valorisation des CGA en alimentation animale rente = 3 kt (SIFCO)</v>
      </c>
      <c r="O32" s="10" t="str">
        <f>Etiquettes!$K$15</f>
        <v>Approximative</v>
      </c>
      <c r="P32" s="111" t="str">
        <f>Etiquettes!$H$16</f>
        <v>Données collectées</v>
      </c>
      <c r="Q32" s="111" t="str">
        <f>Etiquettes!$H$17</f>
        <v>Donnée collectée (valeur du flux ou coefficient)</v>
      </c>
      <c r="S32" s="205"/>
    </row>
    <row r="33" spans="1:19">
      <c r="A33" t="str">
        <f>Produits!$B$28</f>
        <v>Corps gras animaux</v>
      </c>
      <c r="B33" t="str">
        <f>Secteurs!$B$23</f>
        <v>Petfood</v>
      </c>
      <c r="C33" s="67">
        <f>'Coproduits - SIFCO'!M15*'Coproduits - SIFCO'!AB3*(1-'Coproduits - SIFCO'!D33)/10^3</f>
        <v>5.67653408463545</v>
      </c>
      <c r="D33" s="72"/>
      <c r="E33" s="27" t="str">
        <f>Etiquettes!$C$7</f>
        <v>kt</v>
      </c>
      <c r="F33" s="111" t="str">
        <f>Etiquettes!$C$4</f>
        <v>Viande bovine</v>
      </c>
      <c r="G33" s="27">
        <f>Etiquettes!$I$6</f>
        <v>2019</v>
      </c>
      <c r="H33" s="27" t="str">
        <f>Etiquettes!$C$5</f>
        <v>France entière</v>
      </c>
      <c r="I33" s="111" t="s">
        <v>515</v>
      </c>
      <c r="J33" t="s">
        <v>604</v>
      </c>
      <c r="K33" t="s">
        <v>208</v>
      </c>
      <c r="L33" s="111" t="str" cm="1">
        <f t="array" aca="1" ref="L33" ca="1">[1]!NOM_FEUILLE('Coproduits - SIFCO'!$A$1)</f>
        <v>Coproduits - SIFCO</v>
      </c>
      <c r="M33" s="27" t="str">
        <f>Etiquettes!$H$11</f>
        <v>Volume</v>
      </c>
      <c r="N33" s="112" t="str">
        <f t="shared" si="0"/>
        <v>Valorisation des CGA en petfood = 6 kt (SIFCO)</v>
      </c>
      <c r="O33" s="10" t="str">
        <f>Etiquettes!$K$15</f>
        <v>Approximative</v>
      </c>
      <c r="P33" s="111" t="str">
        <f>Etiquettes!$H$16</f>
        <v>Données collectées</v>
      </c>
      <c r="Q33" s="111" t="str">
        <f>Etiquettes!$H$17</f>
        <v>Donnée collectée (valeur du flux ou coefficient)</v>
      </c>
      <c r="S33" s="205"/>
    </row>
    <row r="34" spans="1:19">
      <c r="A34" t="str">
        <f>Produits!$B$28</f>
        <v>Corps gras animaux</v>
      </c>
      <c r="B34" t="str">
        <f>Secteurs!$B$24</f>
        <v>Aquaculture</v>
      </c>
      <c r="C34" s="67">
        <f>'Coproduits - SIFCO'!P15*'Coproduits - SIFCO'!AB3*(1-'Coproduits - SIFCO'!D33)/10^3</f>
        <v>0.48913564933568976</v>
      </c>
      <c r="D34" s="72"/>
      <c r="E34" s="27" t="str">
        <f>Etiquettes!$C$7</f>
        <v>kt</v>
      </c>
      <c r="F34" s="111" t="str">
        <f>Etiquettes!$C$4</f>
        <v>Viande bovine</v>
      </c>
      <c r="G34" s="27">
        <f>Etiquettes!$I$6</f>
        <v>2019</v>
      </c>
      <c r="H34" s="27" t="str">
        <f>Etiquettes!$C$5</f>
        <v>France entière</v>
      </c>
      <c r="I34" s="111" t="s">
        <v>516</v>
      </c>
      <c r="J34" t="s">
        <v>604</v>
      </c>
      <c r="K34" t="s">
        <v>208</v>
      </c>
      <c r="L34" s="111" t="str" cm="1">
        <f t="array" aca="1" ref="L34" ca="1">[1]!NOM_FEUILLE('Coproduits - SIFCO'!$A$1)</f>
        <v>Coproduits - SIFCO</v>
      </c>
      <c r="M34" s="27" t="str">
        <f>Etiquettes!$H$11</f>
        <v>Volume</v>
      </c>
      <c r="N34" s="112" t="str">
        <f t="shared" ref="N34:N55" si="1">_xlfn.CONCAT(I34,IF(OR(ISBLANK(C34),ISERROR(C34)),"",_xlfn.CONCAT(" = ",MROUND(C34,1)," ",E34," (",K34,")")))</f>
        <v>Valorisation des CGA en aquaculture = 0 kt (SIFCO)</v>
      </c>
      <c r="O34" s="10" t="str">
        <f>Etiquettes!$K$15</f>
        <v>Approximative</v>
      </c>
      <c r="P34" s="111" t="str">
        <f>Etiquettes!$H$16</f>
        <v>Données collectées</v>
      </c>
      <c r="Q34" s="111" t="str">
        <f>Etiquettes!$H$17</f>
        <v>Donnée collectée (valeur du flux ou coefficient)</v>
      </c>
      <c r="S34" s="205"/>
    </row>
    <row r="35" spans="1:19">
      <c r="A35" t="str">
        <f>Produits!$B$28</f>
        <v>Corps gras animaux</v>
      </c>
      <c r="B35" t="str">
        <f>Secteurs!$B$27</f>
        <v>Energie</v>
      </c>
      <c r="C35" s="67">
        <f>'Coproduits - SIFCO'!S15*'Coproduits - SIFCO'!AB3*(1-'Coproduits - SIFCO'!D33)/10^3</f>
        <v>7.2822283971104982</v>
      </c>
      <c r="D35" s="72"/>
      <c r="E35" s="27" t="str">
        <f>Etiquettes!$C$7</f>
        <v>kt</v>
      </c>
      <c r="F35" s="111" t="str">
        <f>Etiquettes!$C$4</f>
        <v>Viande bovine</v>
      </c>
      <c r="G35" s="27">
        <f>Etiquettes!$I$6</f>
        <v>2019</v>
      </c>
      <c r="H35" s="27" t="str">
        <f>Etiquettes!$C$5</f>
        <v>France entière</v>
      </c>
      <c r="I35" s="111" t="s">
        <v>517</v>
      </c>
      <c r="J35" t="s">
        <v>604</v>
      </c>
      <c r="K35" t="s">
        <v>208</v>
      </c>
      <c r="L35" s="111" t="str" cm="1">
        <f t="array" aca="1" ref="L35" ca="1">[1]!NOM_FEUILLE('Coproduits - SIFCO'!$A$1)</f>
        <v>Coproduits - SIFCO</v>
      </c>
      <c r="M35" s="27" t="str">
        <f>Etiquettes!$H$11</f>
        <v>Volume</v>
      </c>
      <c r="N35" s="112" t="str">
        <f t="shared" si="1"/>
        <v>Valorisation des CGA en énergie = 7 kt (SIFCO)</v>
      </c>
      <c r="O35" s="10" t="str">
        <f>Etiquettes!$K$15</f>
        <v>Approximative</v>
      </c>
      <c r="P35" s="111" t="str">
        <f>Etiquettes!$H$16</f>
        <v>Données collectées</v>
      </c>
      <c r="Q35" s="111" t="str">
        <f>Etiquettes!$H$17</f>
        <v>Donnée collectée (valeur du flux ou coefficient)</v>
      </c>
      <c r="S35" s="205"/>
    </row>
    <row r="36" spans="1:19">
      <c r="A36" t="str">
        <f>Produits!$B$28</f>
        <v>Corps gras animaux</v>
      </c>
      <c r="B36" t="str">
        <f>Secteurs!$B$29</f>
        <v>Autres industries</v>
      </c>
      <c r="C36" s="67">
        <f>'Coproduits - SIFCO'!Y15*'Coproduits - SIFCO'!AB3*(1-'Coproduits - SIFCO'!D33)/10^3</f>
        <v>16.882721254867757</v>
      </c>
      <c r="D36" s="72"/>
      <c r="E36" s="27" t="str">
        <f>Etiquettes!$C$7</f>
        <v>kt</v>
      </c>
      <c r="F36" s="111" t="str">
        <f>Etiquettes!$C$4</f>
        <v>Viande bovine</v>
      </c>
      <c r="G36" s="27">
        <f>Etiquettes!$I$6</f>
        <v>2019</v>
      </c>
      <c r="H36" s="27" t="str">
        <f>Etiquettes!$C$5</f>
        <v>France entière</v>
      </c>
      <c r="I36" s="111" t="s">
        <v>518</v>
      </c>
      <c r="J36" t="s">
        <v>604</v>
      </c>
      <c r="K36" t="s">
        <v>208</v>
      </c>
      <c r="L36" s="111" t="str" cm="1">
        <f t="array" aca="1" ref="L36" ca="1">[1]!NOM_FEUILLE('Coproduits - SIFCO'!$A$1)</f>
        <v>Coproduits - SIFCO</v>
      </c>
      <c r="M36" s="27" t="str">
        <f>Etiquettes!$H$11</f>
        <v>Volume</v>
      </c>
      <c r="N36" s="112" t="str">
        <f t="shared" si="1"/>
        <v>Valorisation des CGA par les autres industries = 17 kt (SIFCO)</v>
      </c>
      <c r="O36" s="10" t="str">
        <f>Etiquettes!$K$15</f>
        <v>Approximative</v>
      </c>
      <c r="P36" s="111" t="str">
        <f>Etiquettes!$H$16</f>
        <v>Données collectées</v>
      </c>
      <c r="Q36" s="111" t="str">
        <f>Etiquettes!$H$17</f>
        <v>Donnée collectée (valeur du flux ou coefficient)</v>
      </c>
      <c r="S36" s="205"/>
    </row>
    <row r="37" spans="1:19">
      <c r="A37" t="str">
        <f>Produits!$B$28</f>
        <v>Corps gras animaux</v>
      </c>
      <c r="B37" t="str">
        <f>Secteurs!$B$30</f>
        <v>Autres usages (ou usages inconnus)</v>
      </c>
      <c r="C37" s="67">
        <f>'Coproduits - SIFCO'!AB15*'Coproduits - SIFCO'!AB3*(1-'Coproduits - SIFCO'!D33)/10^3</f>
        <v>0</v>
      </c>
      <c r="D37" s="72"/>
      <c r="E37" s="27" t="str">
        <f>Etiquettes!$C$7</f>
        <v>kt</v>
      </c>
      <c r="F37" s="111" t="str">
        <f>Etiquettes!$C$4</f>
        <v>Viande bovine</v>
      </c>
      <c r="G37" s="27">
        <f>Etiquettes!$I$6</f>
        <v>2019</v>
      </c>
      <c r="H37" s="27" t="str">
        <f>Etiquettes!$C$5</f>
        <v>France entière</v>
      </c>
      <c r="I37" s="111" t="s">
        <v>519</v>
      </c>
      <c r="J37" t="s">
        <v>604</v>
      </c>
      <c r="K37" t="s">
        <v>208</v>
      </c>
      <c r="L37" s="111" t="str" cm="1">
        <f t="array" aca="1" ref="L37" ca="1">[1]!NOM_FEUILLE('Coproduits - SIFCO'!$A$1)</f>
        <v>Coproduits - SIFCO</v>
      </c>
      <c r="M37" s="27" t="str">
        <f>Etiquettes!$H$11</f>
        <v>Volume</v>
      </c>
      <c r="N37" s="112" t="str">
        <f t="shared" si="1"/>
        <v>Valorisation des CGA pour d'autres usages = 0 kt (SIFCO)</v>
      </c>
      <c r="O37" s="10" t="str">
        <f>Etiquettes!$K$15</f>
        <v>Approximative</v>
      </c>
      <c r="P37" s="111" t="str">
        <f>Etiquettes!$H$16</f>
        <v>Données collectées</v>
      </c>
      <c r="Q37" s="111" t="str">
        <f>Etiquettes!$H$17</f>
        <v>Donnée collectée (valeur du flux ou coefficient)</v>
      </c>
      <c r="S37" s="205"/>
    </row>
    <row r="38" spans="1:19">
      <c r="A38" t="str">
        <f>Produits!$B$24</f>
        <v>Farines animales</v>
      </c>
      <c r="B38" t="str">
        <f>Secteurs!$B$27</f>
        <v>Energie</v>
      </c>
      <c r="C38" s="67">
        <f>'Coproduits - SIFCO'!H19*'Coproduits - SIFCO'!AC3/10^3</f>
        <v>62.263289980344886</v>
      </c>
      <c r="D38" s="72"/>
      <c r="E38" s="27" t="str">
        <f>Etiquettes!$C$7</f>
        <v>kt</v>
      </c>
      <c r="F38" s="111" t="str">
        <f>Etiquettes!$C$4</f>
        <v>Viande bovine</v>
      </c>
      <c r="G38" s="27">
        <f>Etiquettes!$J$6</f>
        <v>2023</v>
      </c>
      <c r="H38" s="27" t="str">
        <f>Etiquettes!$C$5</f>
        <v>France entière</v>
      </c>
      <c r="I38" s="111" t="s">
        <v>502</v>
      </c>
      <c r="J38" t="s">
        <v>604</v>
      </c>
      <c r="K38" t="s">
        <v>208</v>
      </c>
      <c r="L38" s="111" t="str" cm="1">
        <f t="array" aca="1" ref="L38" ca="1">[1]!NOM_FEUILLE('Coproduits - SIFCO'!$A$1)</f>
        <v>Coproduits - SIFCO</v>
      </c>
      <c r="M38" s="27" t="str">
        <f>Etiquettes!$H$11</f>
        <v>Volume</v>
      </c>
      <c r="N38" s="112" t="str">
        <f t="shared" si="1"/>
        <v>Valorisation des farines animales en énergie = 62 kt (SIFCO)</v>
      </c>
      <c r="O38" s="10" t="str">
        <f>Etiquettes!$K$15</f>
        <v>Approximative</v>
      </c>
      <c r="P38" s="111" t="str">
        <f>Etiquettes!$H$16</f>
        <v>Données collectées</v>
      </c>
      <c r="Q38" s="111" t="str">
        <f>Etiquettes!$H$17</f>
        <v>Donnée collectée (valeur du flux ou coefficient)</v>
      </c>
      <c r="S38" s="205" t="s">
        <v>229</v>
      </c>
    </row>
    <row r="39" spans="1:19">
      <c r="A39" t="str">
        <f>Produits!$B$24</f>
        <v>Farines animales</v>
      </c>
      <c r="B39" t="str">
        <f>Secteurs!$B$28</f>
        <v>Fertilisation</v>
      </c>
      <c r="C39" s="67">
        <f>'Coproduits - SIFCO'!K19*'Coproduits - SIFCO'!AC3/10^3</f>
        <v>19.104514366514881</v>
      </c>
      <c r="D39" s="72"/>
      <c r="E39" s="27" t="str">
        <f>Etiquettes!$C$7</f>
        <v>kt</v>
      </c>
      <c r="F39" s="111" t="str">
        <f>Etiquettes!$C$4</f>
        <v>Viande bovine</v>
      </c>
      <c r="G39" s="27">
        <f>Etiquettes!$J$6</f>
        <v>2023</v>
      </c>
      <c r="H39" s="27" t="str">
        <f>Etiquettes!$C$5</f>
        <v>France entière</v>
      </c>
      <c r="I39" s="111" t="s">
        <v>503</v>
      </c>
      <c r="J39" t="s">
        <v>604</v>
      </c>
      <c r="K39" t="s">
        <v>208</v>
      </c>
      <c r="L39" s="111" t="str" cm="1">
        <f t="array" aca="1" ref="L39" ca="1">[1]!NOM_FEUILLE('Coproduits - SIFCO'!$A$1)</f>
        <v>Coproduits - SIFCO</v>
      </c>
      <c r="M39" s="27" t="str">
        <f>Etiquettes!$H$11</f>
        <v>Volume</v>
      </c>
      <c r="N39" s="112" t="str">
        <f t="shared" si="1"/>
        <v>Valorisation des farines animales en fertilisation = 19 kt (SIFCO)</v>
      </c>
      <c r="O39" s="10" t="str">
        <f>Etiquettes!$K$15</f>
        <v>Approximative</v>
      </c>
      <c r="P39" s="111" t="str">
        <f>Etiquettes!$H$16</f>
        <v>Données collectées</v>
      </c>
      <c r="Q39" s="111" t="str">
        <f>Etiquettes!$H$17</f>
        <v>Donnée collectée (valeur du flux ou coefficient)</v>
      </c>
      <c r="S39" s="205"/>
    </row>
    <row r="40" spans="1:19">
      <c r="A40" t="str">
        <f>Produits!$B$25</f>
        <v>Graisses animales</v>
      </c>
      <c r="B40" t="str">
        <f>Secteurs!$B$27</f>
        <v>Energie</v>
      </c>
      <c r="C40" s="67">
        <f>'Coproduits - SIFCO'!H20*'Coproduits - SIFCO'!AC3/10^3</f>
        <v>30.656958281950665</v>
      </c>
      <c r="D40" s="72"/>
      <c r="E40" s="27" t="str">
        <f>Etiquettes!$C$7</f>
        <v>kt</v>
      </c>
      <c r="F40" s="111" t="str">
        <f>Etiquettes!$C$4</f>
        <v>Viande bovine</v>
      </c>
      <c r="G40" s="27">
        <f>Etiquettes!$J$6</f>
        <v>2023</v>
      </c>
      <c r="H40" s="27" t="str">
        <f>Etiquettes!$C$5</f>
        <v>France entière</v>
      </c>
      <c r="I40" s="111" t="s">
        <v>504</v>
      </c>
      <c r="J40" t="s">
        <v>604</v>
      </c>
      <c r="K40" t="s">
        <v>208</v>
      </c>
      <c r="L40" s="111" t="str" cm="1">
        <f t="array" aca="1" ref="L40" ca="1">[1]!NOM_FEUILLE('Coproduits - SIFCO'!$A$1)</f>
        <v>Coproduits - SIFCO</v>
      </c>
      <c r="M40" s="27" t="str">
        <f>Etiquettes!$H$11</f>
        <v>Volume</v>
      </c>
      <c r="N40" s="112" t="str">
        <f t="shared" si="1"/>
        <v>Valorisation des graisses animales en énergie = 31 kt (SIFCO)</v>
      </c>
      <c r="O40" s="10" t="str">
        <f>Etiquettes!$K$15</f>
        <v>Approximative</v>
      </c>
      <c r="P40" s="111" t="str">
        <f>Etiquettes!$H$16</f>
        <v>Données collectées</v>
      </c>
      <c r="Q40" s="111" t="str">
        <f>Etiquettes!$H$17</f>
        <v>Donnée collectée (valeur du flux ou coefficient)</v>
      </c>
      <c r="S40" s="205"/>
    </row>
    <row r="41" spans="1:19">
      <c r="A41" t="str">
        <f>Produits!$B$27</f>
        <v>Protéines animales transformées</v>
      </c>
      <c r="B41" t="str">
        <f>Secteurs!$B$20</f>
        <v>Autres IAA</v>
      </c>
      <c r="C41" s="67">
        <f>'Coproduits - SIFCO'!H14*'Coproduits - SIFCO'!AC3*(1-'Coproduits - SIFCO'!E32)/10^3</f>
        <v>5.2679126914233452</v>
      </c>
      <c r="D41" s="72"/>
      <c r="E41" s="27" t="str">
        <f>Etiquettes!$C$7</f>
        <v>kt</v>
      </c>
      <c r="F41" s="111" t="str">
        <f>Etiquettes!$C$4</f>
        <v>Viande bovine</v>
      </c>
      <c r="G41" s="27">
        <f>Etiquettes!$J$6</f>
        <v>2023</v>
      </c>
      <c r="H41" s="27" t="str">
        <f>Etiquettes!$C$5</f>
        <v>France entière</v>
      </c>
      <c r="I41" s="111" t="s">
        <v>505</v>
      </c>
      <c r="J41" t="s">
        <v>604</v>
      </c>
      <c r="K41" t="s">
        <v>208</v>
      </c>
      <c r="L41" s="111" t="str" cm="1">
        <f t="array" aca="1" ref="L41" ca="1">[1]!NOM_FEUILLE('Coproduits - SIFCO'!$A$1)</f>
        <v>Coproduits - SIFCO</v>
      </c>
      <c r="M41" s="27" t="str">
        <f>Etiquettes!$H$11</f>
        <v>Volume</v>
      </c>
      <c r="N41" s="112" t="str">
        <f t="shared" si="1"/>
        <v>Valorisation des PAT par les autres IAA = 5 kt (SIFCO)</v>
      </c>
      <c r="O41" s="10" t="str">
        <f>Etiquettes!$K$15</f>
        <v>Approximative</v>
      </c>
      <c r="P41" s="111" t="str">
        <f>Etiquettes!$H$16</f>
        <v>Données collectées</v>
      </c>
      <c r="Q41" s="111" t="str">
        <f>Etiquettes!$H$17</f>
        <v>Donnée collectée (valeur du flux ou coefficient)</v>
      </c>
      <c r="S41" s="205"/>
    </row>
    <row r="42" spans="1:19">
      <c r="A42" t="str">
        <f>Produits!$B$27</f>
        <v>Protéines animales transformées</v>
      </c>
      <c r="B42" t="str">
        <f>Secteurs!$B$22</f>
        <v>Alimentation animale rente</v>
      </c>
      <c r="C42" s="67">
        <f>'Coproduits - SIFCO'!K14*'Coproduits - SIFCO'!AC3*(1-'Coproduits - SIFCO'!E32)/10^3</f>
        <v>3.1743665715896197</v>
      </c>
      <c r="D42" s="72"/>
      <c r="E42" s="27" t="str">
        <f>Etiquettes!$C$7</f>
        <v>kt</v>
      </c>
      <c r="F42" s="111" t="str">
        <f>Etiquettes!$C$4</f>
        <v>Viande bovine</v>
      </c>
      <c r="G42" s="27">
        <f>Etiquettes!$J$6</f>
        <v>2023</v>
      </c>
      <c r="H42" s="27" t="str">
        <f>Etiquettes!$C$5</f>
        <v>France entière</v>
      </c>
      <c r="I42" s="111" t="s">
        <v>506</v>
      </c>
      <c r="J42" t="s">
        <v>604</v>
      </c>
      <c r="K42" t="s">
        <v>208</v>
      </c>
      <c r="L42" s="111" t="str" cm="1">
        <f t="array" aca="1" ref="L42" ca="1">[1]!NOM_FEUILLE('Coproduits - SIFCO'!$A$1)</f>
        <v>Coproduits - SIFCO</v>
      </c>
      <c r="M42" s="27" t="str">
        <f>Etiquettes!$H$11</f>
        <v>Volume</v>
      </c>
      <c r="N42" s="112" t="str">
        <f t="shared" si="1"/>
        <v>Valorisation des PAT en alimentation animale rente = 3 kt (SIFCO)</v>
      </c>
      <c r="O42" s="10" t="str">
        <f>Etiquettes!$K$15</f>
        <v>Approximative</v>
      </c>
      <c r="P42" s="111" t="str">
        <f>Etiquettes!$H$16</f>
        <v>Données collectées</v>
      </c>
      <c r="Q42" s="111" t="str">
        <f>Etiquettes!$H$17</f>
        <v>Donnée collectée (valeur du flux ou coefficient)</v>
      </c>
      <c r="S42" s="205"/>
    </row>
    <row r="43" spans="1:19">
      <c r="A43" t="str">
        <f>Produits!$B$27</f>
        <v>Protéines animales transformées</v>
      </c>
      <c r="B43" t="str">
        <f>Secteurs!$B$23</f>
        <v>Petfood</v>
      </c>
      <c r="C43" s="67">
        <f>'Coproduits - SIFCO'!N14*'Coproduits - SIFCO'!AC3*(1-'Coproduits - SIFCO'!E32)/10^3</f>
        <v>66.609816263436812</v>
      </c>
      <c r="D43" s="72"/>
      <c r="E43" s="27" t="str">
        <f>Etiquettes!$C$7</f>
        <v>kt</v>
      </c>
      <c r="F43" s="111" t="str">
        <f>Etiquettes!$C$4</f>
        <v>Viande bovine</v>
      </c>
      <c r="G43" s="27">
        <f>Etiquettes!$J$6</f>
        <v>2023</v>
      </c>
      <c r="H43" s="27" t="str">
        <f>Etiquettes!$C$5</f>
        <v>France entière</v>
      </c>
      <c r="I43" s="111" t="s">
        <v>507</v>
      </c>
      <c r="J43" t="s">
        <v>604</v>
      </c>
      <c r="K43" t="s">
        <v>208</v>
      </c>
      <c r="L43" s="111" t="str" cm="1">
        <f t="array" aca="1" ref="L43" ca="1">[1]!NOM_FEUILLE('Coproduits - SIFCO'!$A$1)</f>
        <v>Coproduits - SIFCO</v>
      </c>
      <c r="M43" s="27" t="str">
        <f>Etiquettes!$H$11</f>
        <v>Volume</v>
      </c>
      <c r="N43" s="112" t="str">
        <f t="shared" si="1"/>
        <v>Valorisation des PAT en petfood = 67 kt (SIFCO)</v>
      </c>
      <c r="O43" s="10" t="str">
        <f>Etiquettes!$K$15</f>
        <v>Approximative</v>
      </c>
      <c r="P43" s="111" t="str">
        <f>Etiquettes!$H$16</f>
        <v>Données collectées</v>
      </c>
      <c r="Q43" s="111" t="str">
        <f>Etiquettes!$H$17</f>
        <v>Donnée collectée (valeur du flux ou coefficient)</v>
      </c>
      <c r="S43" s="205"/>
    </row>
    <row r="44" spans="1:19">
      <c r="A44" t="str">
        <f>Produits!$B$27</f>
        <v>Protéines animales transformées</v>
      </c>
      <c r="B44" t="str">
        <f>Secteurs!$B$24</f>
        <v>Aquaculture</v>
      </c>
      <c r="C44" s="67">
        <f>'Coproduits - SIFCO'!Q14*'Coproduits - SIFCO'!AC3*(1-'Coproduits - SIFCO'!E32)/10^3</f>
        <v>3.7777865810657723</v>
      </c>
      <c r="D44" s="72"/>
      <c r="E44" s="27" t="str">
        <f>Etiquettes!$C$7</f>
        <v>kt</v>
      </c>
      <c r="F44" s="111" t="str">
        <f>Etiquettes!$C$4</f>
        <v>Viande bovine</v>
      </c>
      <c r="G44" s="27">
        <f>Etiquettes!$J$6</f>
        <v>2023</v>
      </c>
      <c r="H44" s="27" t="str">
        <f>Etiquettes!$C$5</f>
        <v>France entière</v>
      </c>
      <c r="I44" s="111" t="s">
        <v>508</v>
      </c>
      <c r="J44" t="s">
        <v>604</v>
      </c>
      <c r="K44" t="s">
        <v>208</v>
      </c>
      <c r="L44" s="111" t="str" cm="1">
        <f t="array" aca="1" ref="L44" ca="1">[1]!NOM_FEUILLE('Coproduits - SIFCO'!$A$1)</f>
        <v>Coproduits - SIFCO</v>
      </c>
      <c r="M44" s="27" t="str">
        <f>Etiquettes!$H$11</f>
        <v>Volume</v>
      </c>
      <c r="N44" s="112" t="str">
        <f t="shared" si="1"/>
        <v>Valorisation des PAT en aquaculture = 4 kt (SIFCO)</v>
      </c>
      <c r="O44" s="10" t="str">
        <f>Etiquettes!$K$15</f>
        <v>Approximative</v>
      </c>
      <c r="P44" s="111" t="str">
        <f>Etiquettes!$H$16</f>
        <v>Données collectées</v>
      </c>
      <c r="Q44" s="111" t="str">
        <f>Etiquettes!$H$17</f>
        <v>Donnée collectée (valeur du flux ou coefficient)</v>
      </c>
      <c r="S44" s="205"/>
    </row>
    <row r="45" spans="1:19">
      <c r="A45" t="str">
        <f>Produits!$B$27</f>
        <v>Protéines animales transformées</v>
      </c>
      <c r="B45" t="str">
        <f>Secteurs!$B$27</f>
        <v>Energie</v>
      </c>
      <c r="C45" s="67">
        <f>'Coproduits - SIFCO'!T14*'Coproduits - SIFCO'!AC3*(1-'Coproduits - SIFCO'!E32)/10^3</f>
        <v>0.15181304586234423</v>
      </c>
      <c r="D45" s="72"/>
      <c r="E45" s="27" t="str">
        <f>Etiquettes!$C$7</f>
        <v>kt</v>
      </c>
      <c r="F45" s="111" t="str">
        <f>Etiquettes!$C$4</f>
        <v>Viande bovine</v>
      </c>
      <c r="G45" s="27">
        <f>Etiquettes!$J$6</f>
        <v>2023</v>
      </c>
      <c r="H45" s="27" t="str">
        <f>Etiquettes!$C$5</f>
        <v>France entière</v>
      </c>
      <c r="I45" s="111" t="s">
        <v>509</v>
      </c>
      <c r="J45" t="s">
        <v>604</v>
      </c>
      <c r="K45" t="s">
        <v>208</v>
      </c>
      <c r="L45" s="111" t="str" cm="1">
        <f t="array" aca="1" ref="L45" ca="1">[1]!NOM_FEUILLE('Coproduits - SIFCO'!$A$1)</f>
        <v>Coproduits - SIFCO</v>
      </c>
      <c r="M45" s="27" t="str">
        <f>Etiquettes!$H$11</f>
        <v>Volume</v>
      </c>
      <c r="N45" s="112" t="str">
        <f t="shared" si="1"/>
        <v>Valorisation des PAT en énergie = 0 kt (SIFCO)</v>
      </c>
      <c r="O45" s="10" t="str">
        <f>Etiquettes!$K$15</f>
        <v>Approximative</v>
      </c>
      <c r="P45" s="111" t="str">
        <f>Etiquettes!$H$16</f>
        <v>Données collectées</v>
      </c>
      <c r="Q45" s="111" t="str">
        <f>Etiquettes!$H$17</f>
        <v>Donnée collectée (valeur du flux ou coefficient)</v>
      </c>
      <c r="S45" s="205"/>
    </row>
    <row r="46" spans="1:19">
      <c r="A46" t="str">
        <f>Produits!$B$27</f>
        <v>Protéines animales transformées</v>
      </c>
      <c r="B46" t="str">
        <f>Secteurs!$B$28</f>
        <v>Fertilisation</v>
      </c>
      <c r="C46" s="67">
        <f>'Coproduits - SIFCO'!W14*'Coproduits - SIFCO'!AC3*(1-'Coproduits - SIFCO'!E32)/10^3</f>
        <v>1.713423939951215</v>
      </c>
      <c r="D46" s="72"/>
      <c r="E46" s="27" t="str">
        <f>Etiquettes!$C$7</f>
        <v>kt</v>
      </c>
      <c r="F46" s="111" t="str">
        <f>Etiquettes!$C$4</f>
        <v>Viande bovine</v>
      </c>
      <c r="G46" s="27">
        <f>Etiquettes!$J$6</f>
        <v>2023</v>
      </c>
      <c r="H46" s="27" t="str">
        <f>Etiquettes!$C$5</f>
        <v>France entière</v>
      </c>
      <c r="I46" s="111" t="s">
        <v>510</v>
      </c>
      <c r="J46" t="s">
        <v>604</v>
      </c>
      <c r="K46" t="s">
        <v>208</v>
      </c>
      <c r="L46" s="111" t="str" cm="1">
        <f t="array" aca="1" ref="L46" ca="1">[1]!NOM_FEUILLE('Coproduits - SIFCO'!$A$1)</f>
        <v>Coproduits - SIFCO</v>
      </c>
      <c r="M46" s="27" t="str">
        <f>Etiquettes!$H$11</f>
        <v>Volume</v>
      </c>
      <c r="N46" s="112" t="str">
        <f t="shared" si="1"/>
        <v>Valorisation des PAT en fertilisation = 2 kt (SIFCO)</v>
      </c>
      <c r="O46" s="10" t="str">
        <f>Etiquettes!$K$15</f>
        <v>Approximative</v>
      </c>
      <c r="P46" s="111" t="str">
        <f>Etiquettes!$H$16</f>
        <v>Données collectées</v>
      </c>
      <c r="Q46" s="111" t="str">
        <f>Etiquettes!$H$17</f>
        <v>Donnée collectée (valeur du flux ou coefficient)</v>
      </c>
      <c r="S46" s="205"/>
    </row>
    <row r="47" spans="1:19">
      <c r="A47" t="str">
        <f>Produits!$B$27</f>
        <v>Protéines animales transformées</v>
      </c>
      <c r="B47" t="str">
        <f>Secteurs!$B$29</f>
        <v>Autres industries</v>
      </c>
      <c r="C47" s="67">
        <f>'Coproduits - SIFCO'!Z14*'Coproduits - SIFCO'!AC3*(1-'Coproduits - SIFCO'!E32)/10^3</f>
        <v>0.16124608948874231</v>
      </c>
      <c r="D47" s="72"/>
      <c r="E47" s="27" t="str">
        <f>Etiquettes!$C$7</f>
        <v>kt</v>
      </c>
      <c r="F47" s="111" t="str">
        <f>Etiquettes!$C$4</f>
        <v>Viande bovine</v>
      </c>
      <c r="G47" s="27">
        <f>Etiquettes!$J$6</f>
        <v>2023</v>
      </c>
      <c r="H47" s="27" t="str">
        <f>Etiquettes!$C$5</f>
        <v>France entière</v>
      </c>
      <c r="I47" s="111" t="s">
        <v>511</v>
      </c>
      <c r="J47" t="s">
        <v>604</v>
      </c>
      <c r="K47" t="s">
        <v>208</v>
      </c>
      <c r="L47" s="111" t="str" cm="1">
        <f t="array" aca="1" ref="L47" ca="1">[1]!NOM_FEUILLE('Coproduits - SIFCO'!$A$1)</f>
        <v>Coproduits - SIFCO</v>
      </c>
      <c r="M47" s="27" t="str">
        <f>Etiquettes!$H$11</f>
        <v>Volume</v>
      </c>
      <c r="N47" s="112" t="str">
        <f t="shared" si="1"/>
        <v>Valorisation des PAT par les autres industries = 0 kt (SIFCO)</v>
      </c>
      <c r="O47" s="10" t="str">
        <f>Etiquettes!$K$15</f>
        <v>Approximative</v>
      </c>
      <c r="P47" s="111" t="str">
        <f>Etiquettes!$H$16</f>
        <v>Données collectées</v>
      </c>
      <c r="Q47" s="111" t="str">
        <f>Etiquettes!$H$17</f>
        <v>Donnée collectée (valeur du flux ou coefficient)</v>
      </c>
      <c r="S47" s="205"/>
    </row>
    <row r="48" spans="1:19">
      <c r="A48" t="str">
        <f>Produits!$B$27</f>
        <v>Protéines animales transformées</v>
      </c>
      <c r="B48" t="str">
        <f>Secteurs!$B$30</f>
        <v>Autres usages (ou usages inconnus)</v>
      </c>
      <c r="C48" s="67">
        <f>'Coproduits - SIFCO'!AC14*'Coproduits - SIFCO'!AC3*(1-'Coproduits - SIFCO'!E32)/10^3</f>
        <v>4.0786122379638741</v>
      </c>
      <c r="D48" s="72"/>
      <c r="E48" s="27" t="str">
        <f>Etiquettes!$C$7</f>
        <v>kt</v>
      </c>
      <c r="F48" s="111" t="str">
        <f>Etiquettes!$C$4</f>
        <v>Viande bovine</v>
      </c>
      <c r="G48" s="27">
        <f>Etiquettes!$J$6</f>
        <v>2023</v>
      </c>
      <c r="H48" s="27" t="str">
        <f>Etiquettes!$C$5</f>
        <v>France entière</v>
      </c>
      <c r="I48" s="111" t="s">
        <v>512</v>
      </c>
      <c r="J48" t="s">
        <v>604</v>
      </c>
      <c r="K48" t="s">
        <v>208</v>
      </c>
      <c r="L48" s="111" t="str" cm="1">
        <f t="array" aca="1" ref="L48" ca="1">[1]!NOM_FEUILLE('Coproduits - SIFCO'!$A$1)</f>
        <v>Coproduits - SIFCO</v>
      </c>
      <c r="M48" s="27" t="str">
        <f>Etiquettes!$H$11</f>
        <v>Volume</v>
      </c>
      <c r="N48" s="112" t="str">
        <f t="shared" si="1"/>
        <v>Valorisation des PAT pour d'autres usages = 4 kt (SIFCO)</v>
      </c>
      <c r="O48" s="10" t="str">
        <f>Etiquettes!$K$15</f>
        <v>Approximative</v>
      </c>
      <c r="P48" s="111" t="str">
        <f>Etiquettes!$H$16</f>
        <v>Données collectées</v>
      </c>
      <c r="Q48" s="111" t="str">
        <f>Etiquettes!$H$17</f>
        <v>Donnée collectée (valeur du flux ou coefficient)</v>
      </c>
      <c r="S48" s="205"/>
    </row>
    <row r="49" spans="1:19">
      <c r="A49" t="str">
        <f>Produits!$B$28</f>
        <v>Corps gras animaux</v>
      </c>
      <c r="B49" t="str">
        <f>Secteurs!$B$20</f>
        <v>Autres IAA</v>
      </c>
      <c r="C49" s="67">
        <f>'Coproduits - SIFCO'!H15*'Coproduits - SIFCO'!AC3*(1-'Coproduits - SIFCO'!E33)/10^3</f>
        <v>1.4845425808581241</v>
      </c>
      <c r="D49" s="72"/>
      <c r="E49" s="27" t="str">
        <f>Etiquettes!$C$7</f>
        <v>kt</v>
      </c>
      <c r="F49" s="111" t="str">
        <f>Etiquettes!$C$4</f>
        <v>Viande bovine</v>
      </c>
      <c r="G49" s="27">
        <f>Etiquettes!$J$6</f>
        <v>2023</v>
      </c>
      <c r="H49" s="27" t="str">
        <f>Etiquettes!$C$5</f>
        <v>France entière</v>
      </c>
      <c r="I49" s="111" t="s">
        <v>513</v>
      </c>
      <c r="J49" t="s">
        <v>604</v>
      </c>
      <c r="K49" t="s">
        <v>208</v>
      </c>
      <c r="L49" s="111" t="str" cm="1">
        <f t="array" aca="1" ref="L49" ca="1">[1]!NOM_FEUILLE('Coproduits - SIFCO'!$A$1)</f>
        <v>Coproduits - SIFCO</v>
      </c>
      <c r="M49" s="27" t="str">
        <f>Etiquettes!$H$11</f>
        <v>Volume</v>
      </c>
      <c r="N49" s="112" t="str">
        <f t="shared" si="1"/>
        <v>Valorisation des CGA par les autres IAA = 1 kt (SIFCO)</v>
      </c>
      <c r="O49" s="10" t="str">
        <f>Etiquettes!$K$15</f>
        <v>Approximative</v>
      </c>
      <c r="P49" s="111" t="str">
        <f>Etiquettes!$H$16</f>
        <v>Données collectées</v>
      </c>
      <c r="Q49" s="111" t="str">
        <f>Etiquettes!$H$17</f>
        <v>Donnée collectée (valeur du flux ou coefficient)</v>
      </c>
      <c r="S49" s="205"/>
    </row>
    <row r="50" spans="1:19">
      <c r="A50" t="str">
        <f>Produits!$B$28</f>
        <v>Corps gras animaux</v>
      </c>
      <c r="B50" t="str">
        <f>Secteurs!$B$22</f>
        <v>Alimentation animale rente</v>
      </c>
      <c r="C50" s="67">
        <f>'Coproduits - SIFCO'!K15*'Coproduits - SIFCO'!AC3*(1-'Coproduits - SIFCO'!E33)/10^3</f>
        <v>2.9818648550115707</v>
      </c>
      <c r="D50" s="72"/>
      <c r="E50" s="27" t="str">
        <f>Etiquettes!$C$7</f>
        <v>kt</v>
      </c>
      <c r="F50" s="111" t="str">
        <f>Etiquettes!$C$4</f>
        <v>Viande bovine</v>
      </c>
      <c r="G50" s="27">
        <f>Etiquettes!$J$6</f>
        <v>2023</v>
      </c>
      <c r="H50" s="27" t="str">
        <f>Etiquettes!$C$5</f>
        <v>France entière</v>
      </c>
      <c r="I50" s="111" t="s">
        <v>514</v>
      </c>
      <c r="J50" t="s">
        <v>604</v>
      </c>
      <c r="K50" t="s">
        <v>208</v>
      </c>
      <c r="L50" s="111" t="str" cm="1">
        <f t="array" aca="1" ref="L50" ca="1">[1]!NOM_FEUILLE('Coproduits - SIFCO'!$A$1)</f>
        <v>Coproduits - SIFCO</v>
      </c>
      <c r="M50" s="27" t="str">
        <f>Etiquettes!$H$11</f>
        <v>Volume</v>
      </c>
      <c r="N50" s="112" t="str">
        <f t="shared" si="1"/>
        <v>Valorisation des CGA en alimentation animale rente = 3 kt (SIFCO)</v>
      </c>
      <c r="O50" s="10" t="str">
        <f>Etiquettes!$K$15</f>
        <v>Approximative</v>
      </c>
      <c r="P50" s="111" t="str">
        <f>Etiquettes!$H$16</f>
        <v>Données collectées</v>
      </c>
      <c r="Q50" s="111" t="str">
        <f>Etiquettes!$H$17</f>
        <v>Donnée collectée (valeur du flux ou coefficient)</v>
      </c>
      <c r="S50" s="205"/>
    </row>
    <row r="51" spans="1:19">
      <c r="A51" t="str">
        <f>Produits!$B$28</f>
        <v>Corps gras animaux</v>
      </c>
      <c r="B51" t="str">
        <f>Secteurs!$B$23</f>
        <v>Petfood</v>
      </c>
      <c r="C51" s="67">
        <f>'Coproduits - SIFCO'!N15*'Coproduits - SIFCO'!AC3*(1-'Coproduits - SIFCO'!E33)/10^3</f>
        <v>5.0498862685621013</v>
      </c>
      <c r="D51" s="72"/>
      <c r="E51" s="27" t="str">
        <f>Etiquettes!$C$7</f>
        <v>kt</v>
      </c>
      <c r="F51" s="111" t="str">
        <f>Etiquettes!$C$4</f>
        <v>Viande bovine</v>
      </c>
      <c r="G51" s="27">
        <f>Etiquettes!$J$6</f>
        <v>2023</v>
      </c>
      <c r="H51" s="27" t="str">
        <f>Etiquettes!$C$5</f>
        <v>France entière</v>
      </c>
      <c r="I51" s="111" t="s">
        <v>515</v>
      </c>
      <c r="J51" t="s">
        <v>604</v>
      </c>
      <c r="K51" t="s">
        <v>208</v>
      </c>
      <c r="L51" s="111" t="str" cm="1">
        <f t="array" aca="1" ref="L51" ca="1">[1]!NOM_FEUILLE('Coproduits - SIFCO'!$A$1)</f>
        <v>Coproduits - SIFCO</v>
      </c>
      <c r="M51" s="27" t="str">
        <f>Etiquettes!$H$11</f>
        <v>Volume</v>
      </c>
      <c r="N51" s="112" t="str">
        <f t="shared" si="1"/>
        <v>Valorisation des CGA en petfood = 5 kt (SIFCO)</v>
      </c>
      <c r="O51" s="10" t="str">
        <f>Etiquettes!$K$15</f>
        <v>Approximative</v>
      </c>
      <c r="P51" s="111" t="str">
        <f>Etiquettes!$H$16</f>
        <v>Données collectées</v>
      </c>
      <c r="Q51" s="111" t="str">
        <f>Etiquettes!$H$17</f>
        <v>Donnée collectée (valeur du flux ou coefficient)</v>
      </c>
      <c r="S51" s="205"/>
    </row>
    <row r="52" spans="1:19">
      <c r="A52" t="str">
        <f>Produits!$B$28</f>
        <v>Corps gras animaux</v>
      </c>
      <c r="B52" t="str">
        <f>Secteurs!$B$24</f>
        <v>Aquaculture</v>
      </c>
      <c r="C52" s="67">
        <f>'Coproduits - SIFCO'!Q15*'Coproduits - SIFCO'!AC3*(1-'Coproduits - SIFCO'!E33)/10^3</f>
        <v>0.40027143851095637</v>
      </c>
      <c r="D52" s="72"/>
      <c r="E52" s="27" t="str">
        <f>Etiquettes!$C$7</f>
        <v>kt</v>
      </c>
      <c r="F52" s="111" t="str">
        <f>Etiquettes!$C$4</f>
        <v>Viande bovine</v>
      </c>
      <c r="G52" s="27">
        <f>Etiquettes!$J$6</f>
        <v>2023</v>
      </c>
      <c r="H52" s="27" t="str">
        <f>Etiquettes!$C$5</f>
        <v>France entière</v>
      </c>
      <c r="I52" s="111" t="s">
        <v>516</v>
      </c>
      <c r="J52" t="s">
        <v>604</v>
      </c>
      <c r="K52" t="s">
        <v>208</v>
      </c>
      <c r="L52" s="111" t="str" cm="1">
        <f t="array" aca="1" ref="L52" ca="1">[1]!NOM_FEUILLE('Coproduits - SIFCO'!$A$1)</f>
        <v>Coproduits - SIFCO</v>
      </c>
      <c r="M52" s="27" t="str">
        <f>Etiquettes!$H$11</f>
        <v>Volume</v>
      </c>
      <c r="N52" s="112" t="str">
        <f t="shared" si="1"/>
        <v>Valorisation des CGA en aquaculture = 0 kt (SIFCO)</v>
      </c>
      <c r="O52" s="10" t="str">
        <f>Etiquettes!$K$15</f>
        <v>Approximative</v>
      </c>
      <c r="P52" s="111" t="str">
        <f>Etiquettes!$H$16</f>
        <v>Données collectées</v>
      </c>
      <c r="Q52" s="111" t="str">
        <f>Etiquettes!$H$17</f>
        <v>Donnée collectée (valeur du flux ou coefficient)</v>
      </c>
      <c r="S52" s="205"/>
    </row>
    <row r="53" spans="1:19">
      <c r="A53" t="str">
        <f>Produits!$B$28</f>
        <v>Corps gras animaux</v>
      </c>
      <c r="B53" t="str">
        <f>Secteurs!$B$27</f>
        <v>Energie</v>
      </c>
      <c r="C53" s="67">
        <f>'Coproduits - SIFCO'!T15*'Coproduits - SIFCO'!AC3*(1-'Coproduits - SIFCO'!E33)/10^3</f>
        <v>15.276311288493678</v>
      </c>
      <c r="D53" s="72"/>
      <c r="E53" s="27" t="str">
        <f>Etiquettes!$C$7</f>
        <v>kt</v>
      </c>
      <c r="F53" s="111" t="str">
        <f>Etiquettes!$C$4</f>
        <v>Viande bovine</v>
      </c>
      <c r="G53" s="27">
        <f>Etiquettes!$J$6</f>
        <v>2023</v>
      </c>
      <c r="H53" s="27" t="str">
        <f>Etiquettes!$C$5</f>
        <v>France entière</v>
      </c>
      <c r="I53" s="111" t="s">
        <v>517</v>
      </c>
      <c r="J53" t="s">
        <v>604</v>
      </c>
      <c r="K53" t="s">
        <v>208</v>
      </c>
      <c r="L53" s="111" t="str" cm="1">
        <f t="array" aca="1" ref="L53" ca="1">[1]!NOM_FEUILLE('Coproduits - SIFCO'!$A$1)</f>
        <v>Coproduits - SIFCO</v>
      </c>
      <c r="M53" s="27" t="str">
        <f>Etiquettes!$H$11</f>
        <v>Volume</v>
      </c>
      <c r="N53" s="112" t="str">
        <f t="shared" si="1"/>
        <v>Valorisation des CGA en énergie = 15 kt (SIFCO)</v>
      </c>
      <c r="O53" s="10" t="str">
        <f>Etiquettes!$K$15</f>
        <v>Approximative</v>
      </c>
      <c r="P53" s="111" t="str">
        <f>Etiquettes!$H$16</f>
        <v>Données collectées</v>
      </c>
      <c r="Q53" s="111" t="str">
        <f>Etiquettes!$H$17</f>
        <v>Donnée collectée (valeur du flux ou coefficient)</v>
      </c>
      <c r="S53" s="205"/>
    </row>
    <row r="54" spans="1:19">
      <c r="A54" t="str">
        <f>Produits!$B$28</f>
        <v>Corps gras animaux</v>
      </c>
      <c r="B54" t="str">
        <f>Secteurs!$B$29</f>
        <v>Autres industries</v>
      </c>
      <c r="C54" s="67">
        <f>'Coproduits - SIFCO'!Z15*'Coproduits - SIFCO'!AC3*(1-'Coproduits - SIFCO'!E33)/10^3</f>
        <v>7.0501943818165209</v>
      </c>
      <c r="D54" s="72"/>
      <c r="E54" s="27" t="str">
        <f>Etiquettes!$C$7</f>
        <v>kt</v>
      </c>
      <c r="F54" s="111" t="str">
        <f>Etiquettes!$C$4</f>
        <v>Viande bovine</v>
      </c>
      <c r="G54" s="27">
        <f>Etiquettes!$J$6</f>
        <v>2023</v>
      </c>
      <c r="H54" s="27" t="str">
        <f>Etiquettes!$C$5</f>
        <v>France entière</v>
      </c>
      <c r="I54" s="111" t="s">
        <v>518</v>
      </c>
      <c r="J54" t="s">
        <v>604</v>
      </c>
      <c r="K54" t="s">
        <v>208</v>
      </c>
      <c r="L54" s="111" t="str" cm="1">
        <f t="array" aca="1" ref="L54" ca="1">[1]!NOM_FEUILLE('Coproduits - SIFCO'!$A$1)</f>
        <v>Coproduits - SIFCO</v>
      </c>
      <c r="M54" s="27" t="str">
        <f>Etiquettes!$H$11</f>
        <v>Volume</v>
      </c>
      <c r="N54" s="112" t="str">
        <f t="shared" si="1"/>
        <v>Valorisation des CGA par les autres industries = 7 kt (SIFCO)</v>
      </c>
      <c r="O54" s="10" t="str">
        <f>Etiquettes!$K$15</f>
        <v>Approximative</v>
      </c>
      <c r="P54" s="111" t="str">
        <f>Etiquettes!$H$16</f>
        <v>Données collectées</v>
      </c>
      <c r="Q54" s="111" t="str">
        <f>Etiquettes!$H$17</f>
        <v>Donnée collectée (valeur du flux ou coefficient)</v>
      </c>
      <c r="S54" s="205"/>
    </row>
    <row r="55" spans="1:19">
      <c r="A55" t="str">
        <f>Produits!$B$28</f>
        <v>Corps gras animaux</v>
      </c>
      <c r="B55" t="str">
        <f>Secteurs!$B$30</f>
        <v>Autres usages (ou usages inconnus)</v>
      </c>
      <c r="C55" s="67">
        <f>'Coproduits - SIFCO'!AC15*'Coproduits - SIFCO'!AC3*(1-'Coproduits - SIFCO'!E33)/10^3</f>
        <v>8.8504144612382069E-2</v>
      </c>
      <c r="D55" s="72"/>
      <c r="E55" s="27" t="str">
        <f>Etiquettes!$C$7</f>
        <v>kt</v>
      </c>
      <c r="F55" s="111" t="str">
        <f>Etiquettes!$C$4</f>
        <v>Viande bovine</v>
      </c>
      <c r="G55" s="27">
        <f>Etiquettes!$J$6</f>
        <v>2023</v>
      </c>
      <c r="H55" s="27" t="str">
        <f>Etiquettes!$C$5</f>
        <v>France entière</v>
      </c>
      <c r="I55" s="111" t="s">
        <v>519</v>
      </c>
      <c r="J55" t="s">
        <v>604</v>
      </c>
      <c r="K55" t="s">
        <v>208</v>
      </c>
      <c r="L55" s="111" t="str" cm="1">
        <f t="array" aca="1" ref="L55" ca="1">[1]!NOM_FEUILLE('Coproduits - SIFCO'!$A$1)</f>
        <v>Coproduits - SIFCO</v>
      </c>
      <c r="M55" s="27" t="str">
        <f>Etiquettes!$H$11</f>
        <v>Volume</v>
      </c>
      <c r="N55" s="112" t="str">
        <f t="shared" si="1"/>
        <v>Valorisation des CGA pour d'autres usages = 0 kt (SIFCO)</v>
      </c>
      <c r="O55" s="10" t="str">
        <f>Etiquettes!$K$15</f>
        <v>Approximative</v>
      </c>
      <c r="P55" s="111" t="str">
        <f>Etiquettes!$H$16</f>
        <v>Données collectées</v>
      </c>
      <c r="Q55" s="111" t="str">
        <f>Etiquettes!$H$17</f>
        <v>Donnée collectée (valeur du flux ou coefficient)</v>
      </c>
      <c r="S55" s="205"/>
    </row>
  </sheetData>
  <mergeCells count="3">
    <mergeCell ref="S38:S55"/>
    <mergeCell ref="S20:S37"/>
    <mergeCell ref="S2:S19"/>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1148-65F2-4432-A42B-C73133E6C181}">
  <sheetPr>
    <tabColor rgb="FF92D050"/>
  </sheetPr>
  <dimension ref="A1:U13"/>
  <sheetViews>
    <sheetView workbookViewId="0">
      <pane xSplit="3" ySplit="1" topLeftCell="D2" activePane="bottomRight" state="frozen"/>
      <selection activeCell="AD10" sqref="AD10"/>
      <selection pane="topRight" activeCell="AD10" sqref="AD10"/>
      <selection pane="bottomLeft" activeCell="AD10" sqref="AD10"/>
      <selection pane="bottomRight" activeCell="R13" activeCellId="5" sqref="R3:S3 R5:S5 R7:S7 R9:S9 R11:S11 R13:S1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9" width="14.44140625" style="28" customWidth="1"/>
    <col min="20" max="20" width="14.33203125" style="10" customWidth="1"/>
    <col min="21" max="21" width="13.109375" customWidth="1"/>
  </cols>
  <sheetData>
    <row r="1" spans="1:21" ht="76.2" thickBot="1">
      <c r="A1" s="23" t="s">
        <v>39</v>
      </c>
      <c r="B1" s="24" t="s">
        <v>30</v>
      </c>
      <c r="C1" s="24" t="s">
        <v>31</v>
      </c>
      <c r="D1" s="24" t="s">
        <v>40</v>
      </c>
      <c r="E1" s="24" t="s">
        <v>41</v>
      </c>
      <c r="F1" s="24" t="s">
        <v>42</v>
      </c>
      <c r="G1" s="25" t="str">
        <f>Etiquettes!$A$7</f>
        <v>Unité</v>
      </c>
      <c r="H1" s="25" t="str">
        <f>Etiquettes!$A$4</f>
        <v>Filière</v>
      </c>
      <c r="I1" s="25" t="str">
        <f>Etiquettes!$A$6</f>
        <v>Année</v>
      </c>
      <c r="J1" s="25" t="str">
        <f>Etiquettes!$A$5</f>
        <v>Territoire</v>
      </c>
      <c r="K1" s="25" t="str">
        <f>Etiquettes!$A$12</f>
        <v>Traduction</v>
      </c>
      <c r="L1" s="25" t="str">
        <f>Etiquettes!$A$10</f>
        <v>Hypothèse</v>
      </c>
      <c r="M1" s="25" t="str">
        <f>Etiquettes!$A$9</f>
        <v>Source</v>
      </c>
      <c r="N1" s="25" t="str">
        <f>Etiquettes!$A$13</f>
        <v>Onglet source fichier Excel</v>
      </c>
      <c r="O1" s="25" t="str">
        <f>Etiquettes!$A$11</f>
        <v>Type de donnée collectée</v>
      </c>
      <c r="P1" s="25" t="str">
        <f>Etiquettes!$A$8</f>
        <v>Information collectée</v>
      </c>
      <c r="Q1" s="25" t="str">
        <f>Etiquettes!$A$15</f>
        <v>Fiabilité des données</v>
      </c>
      <c r="R1" s="25" t="str">
        <f>Etiquettes!$A$16</f>
        <v>Méthode</v>
      </c>
      <c r="S1" s="25" t="str">
        <f>Etiquettes!$A$17</f>
        <v>Analyse des résultats</v>
      </c>
      <c r="T1" s="24" t="s">
        <v>3</v>
      </c>
      <c r="U1" s="26" t="s">
        <v>5</v>
      </c>
    </row>
    <row r="2" spans="1:21">
      <c r="A2" s="10">
        <f>Contraintes!A28+1</f>
        <v>15</v>
      </c>
      <c r="B2" t="str">
        <f>Secteurs!$B$9</f>
        <v>Traitement thermique C3 et alimentaire</v>
      </c>
      <c r="C2" t="str">
        <f>Produits!$B$27</f>
        <v>Protéines animales transformées</v>
      </c>
      <c r="D2" s="29">
        <f>'Coproduits - SIFCO'!C32</f>
        <v>0.47286561969714985</v>
      </c>
      <c r="G2" s="27" t="str">
        <f>Etiquettes!$C$7</f>
        <v>kt</v>
      </c>
      <c r="H2" s="111" t="str">
        <f>Etiquettes!$C$4</f>
        <v>Viande bovine</v>
      </c>
      <c r="I2" s="27">
        <f>Etiquettes!$H$6</f>
        <v>2015</v>
      </c>
      <c r="J2" s="27" t="str">
        <f>Etiquettes!$C$5</f>
        <v>France entière</v>
      </c>
      <c r="M2"/>
      <c r="R2" s="27"/>
      <c r="S2" s="27"/>
      <c r="U2" s="205" t="s">
        <v>228</v>
      </c>
    </row>
    <row r="3" spans="1:21">
      <c r="A3" s="10">
        <f>Contraintes!A29+1</f>
        <v>15</v>
      </c>
      <c r="B3" t="str">
        <f>Produits!$B$27</f>
        <v>Protéines animales transformées</v>
      </c>
      <c r="C3" t="str">
        <f>Secteurs!$B$32</f>
        <v>Exportations</v>
      </c>
      <c r="D3">
        <v>-1</v>
      </c>
      <c r="G3" s="27" t="str">
        <f>Etiquettes!$C$7</f>
        <v>kt</v>
      </c>
      <c r="H3" s="111" t="str">
        <f>Etiquettes!$C$4</f>
        <v>Viande bovine</v>
      </c>
      <c r="I3" s="27">
        <f>Etiquettes!$H$6</f>
        <v>2015</v>
      </c>
      <c r="J3" s="27" t="str">
        <f>Etiquettes!$C$5</f>
        <v>France entière</v>
      </c>
      <c r="K3" s="38" t="s">
        <v>534</v>
      </c>
      <c r="L3" s="38" t="s">
        <v>602</v>
      </c>
      <c r="M3" t="s">
        <v>208</v>
      </c>
      <c r="N3" s="38" t="str" cm="1">
        <f t="array" aca="1" ref="N3" ca="1">[1]!NOM_FEUILLE('Coproduits - SIFCO'!$A$1)</f>
        <v>Coproduits - SIFCO</v>
      </c>
      <c r="O3" s="38" t="str">
        <f>Etiquettes!$J$11</f>
        <v>Répartition</v>
      </c>
      <c r="P3" t="str">
        <f t="shared" ref="P3" si="0">_xlfn.CONCAT(K3," = ",MROUND(D2*100,0.01)," % (",M3,")")</f>
        <v>Part de PAT exportées = 47,29 % (SIFCO)</v>
      </c>
      <c r="Q3" s="10" t="str">
        <f>Etiquettes!$K$15</f>
        <v>Approximative</v>
      </c>
      <c r="R3" s="112" t="s">
        <v>664</v>
      </c>
      <c r="S3" s="111" t="str">
        <f>Etiquettes!$H$17</f>
        <v>Donnée collectée (valeur du flux ou coefficient)</v>
      </c>
      <c r="U3" s="205"/>
    </row>
    <row r="4" spans="1:21">
      <c r="A4" s="10">
        <f>A2+1</f>
        <v>16</v>
      </c>
      <c r="B4" t="str">
        <f>Secteurs!$B$9</f>
        <v>Traitement thermique C3 et alimentaire</v>
      </c>
      <c r="C4" t="str">
        <f>Produits!$B$28</f>
        <v>Corps gras animaux</v>
      </c>
      <c r="D4" s="29">
        <f>'Coproduits - SIFCO'!C33</f>
        <v>0.7040732987242192</v>
      </c>
      <c r="G4" s="27" t="str">
        <f>Etiquettes!$C$7</f>
        <v>kt</v>
      </c>
      <c r="H4" s="111" t="str">
        <f>Etiquettes!$C$4</f>
        <v>Viande bovine</v>
      </c>
      <c r="I4" s="27">
        <f>Etiquettes!$H$6</f>
        <v>2015</v>
      </c>
      <c r="J4" s="27" t="str">
        <f>Etiquettes!$C$5</f>
        <v>France entière</v>
      </c>
      <c r="M4"/>
      <c r="R4" s="27"/>
      <c r="S4" s="27"/>
      <c r="U4" s="205"/>
    </row>
    <row r="5" spans="1:21">
      <c r="A5" s="10">
        <f t="shared" ref="A5:A13" si="1">A3+1</f>
        <v>16</v>
      </c>
      <c r="B5" t="str">
        <f>Produits!$B$28</f>
        <v>Corps gras animaux</v>
      </c>
      <c r="C5" t="str">
        <f>Secteurs!$B$32</f>
        <v>Exportations</v>
      </c>
      <c r="D5">
        <v>-1</v>
      </c>
      <c r="G5" s="27" t="str">
        <f>Etiquettes!$C$7</f>
        <v>kt</v>
      </c>
      <c r="H5" s="111" t="str">
        <f>Etiquettes!$C$4</f>
        <v>Viande bovine</v>
      </c>
      <c r="I5" s="27">
        <f>Etiquettes!$H$6</f>
        <v>2015</v>
      </c>
      <c r="J5" s="27" t="str">
        <f>Etiquettes!$C$5</f>
        <v>France entière</v>
      </c>
      <c r="K5" s="38" t="s">
        <v>535</v>
      </c>
      <c r="L5" s="38" t="s">
        <v>602</v>
      </c>
      <c r="M5" t="s">
        <v>208</v>
      </c>
      <c r="N5" s="38" t="str" cm="1">
        <f t="array" aca="1" ref="N5" ca="1">[1]!NOM_FEUILLE('Coproduits - SIFCO'!$A$1)</f>
        <v>Coproduits - SIFCO</v>
      </c>
      <c r="O5" s="38" t="str">
        <f>Etiquettes!$J$11</f>
        <v>Répartition</v>
      </c>
      <c r="P5" t="str">
        <f t="shared" ref="P5" si="2">_xlfn.CONCAT(K5," = ",MROUND(D4*100,0.01)," % (",M5,")")</f>
        <v>Part de CGA exportées = 70,41 % (SIFCO)</v>
      </c>
      <c r="Q5" s="10" t="str">
        <f>Etiquettes!$K$15</f>
        <v>Approximative</v>
      </c>
      <c r="R5" s="112" t="s">
        <v>664</v>
      </c>
      <c r="S5" s="111" t="str">
        <f>Etiquettes!$H$17</f>
        <v>Donnée collectée (valeur du flux ou coefficient)</v>
      </c>
      <c r="U5" s="205"/>
    </row>
    <row r="6" spans="1:21">
      <c r="A6" s="10">
        <f t="shared" si="1"/>
        <v>17</v>
      </c>
      <c r="B6" t="str">
        <f>Secteurs!$B$9</f>
        <v>Traitement thermique C3 et alimentaire</v>
      </c>
      <c r="C6" t="str">
        <f>Produits!$B$27</f>
        <v>Protéines animales transformées</v>
      </c>
      <c r="D6" s="29">
        <f>'Coproduits - SIFCO'!D32</f>
        <v>0.57999999999999996</v>
      </c>
      <c r="G6" s="27" t="str">
        <f>Etiquettes!$C$7</f>
        <v>kt</v>
      </c>
      <c r="H6" s="111" t="str">
        <f>Etiquettes!$C$4</f>
        <v>Viande bovine</v>
      </c>
      <c r="I6" s="27">
        <f>Etiquettes!$I$6</f>
        <v>2019</v>
      </c>
      <c r="J6" s="27" t="str">
        <f>Etiquettes!$C$5</f>
        <v>France entière</v>
      </c>
      <c r="M6"/>
      <c r="R6" s="27"/>
      <c r="S6" s="27"/>
      <c r="U6" s="205" t="s">
        <v>228</v>
      </c>
    </row>
    <row r="7" spans="1:21">
      <c r="A7" s="10">
        <f t="shared" si="1"/>
        <v>17</v>
      </c>
      <c r="B7" t="str">
        <f>Produits!$B$27</f>
        <v>Protéines animales transformées</v>
      </c>
      <c r="C7" t="str">
        <f>Secteurs!$B$32</f>
        <v>Exportations</v>
      </c>
      <c r="D7">
        <v>-1</v>
      </c>
      <c r="G7" s="27" t="str">
        <f>Etiquettes!$C$7</f>
        <v>kt</v>
      </c>
      <c r="H7" s="111" t="str">
        <f>Etiquettes!$C$4</f>
        <v>Viande bovine</v>
      </c>
      <c r="I7" s="27">
        <f>Etiquettes!$I$6</f>
        <v>2019</v>
      </c>
      <c r="J7" s="27" t="str">
        <f>Etiquettes!$C$5</f>
        <v>France entière</v>
      </c>
      <c r="K7" s="38" t="s">
        <v>534</v>
      </c>
      <c r="L7" s="38" t="s">
        <v>602</v>
      </c>
      <c r="M7" t="s">
        <v>208</v>
      </c>
      <c r="N7" s="38" t="str" cm="1">
        <f t="array" aca="1" ref="N7" ca="1">[1]!NOM_FEUILLE('Coproduits - SIFCO'!$A$1)</f>
        <v>Coproduits - SIFCO</v>
      </c>
      <c r="O7" s="38" t="str">
        <f>Etiquettes!$J$11</f>
        <v>Répartition</v>
      </c>
      <c r="P7" t="str">
        <f t="shared" ref="P7" si="3">_xlfn.CONCAT(K7," = ",MROUND(D6*100,0.01)," % (",M7,")")</f>
        <v>Part de PAT exportées = 58 % (SIFCO)</v>
      </c>
      <c r="Q7" s="10" t="str">
        <f>Etiquettes!$K$15</f>
        <v>Approximative</v>
      </c>
      <c r="R7" s="112" t="s">
        <v>664</v>
      </c>
      <c r="S7" s="111" t="str">
        <f>Etiquettes!$H$17</f>
        <v>Donnée collectée (valeur du flux ou coefficient)</v>
      </c>
      <c r="U7" s="205"/>
    </row>
    <row r="8" spans="1:21">
      <c r="A8" s="10">
        <f t="shared" si="1"/>
        <v>18</v>
      </c>
      <c r="B8" t="str">
        <f>Secteurs!$B$9</f>
        <v>Traitement thermique C3 et alimentaire</v>
      </c>
      <c r="C8" t="str">
        <f>Produits!$B$28</f>
        <v>Corps gras animaux</v>
      </c>
      <c r="D8" s="29">
        <f>'Coproduits - SIFCO'!D33</f>
        <v>0.78</v>
      </c>
      <c r="G8" s="27" t="str">
        <f>Etiquettes!$C$7</f>
        <v>kt</v>
      </c>
      <c r="H8" s="111" t="str">
        <f>Etiquettes!$C$4</f>
        <v>Viande bovine</v>
      </c>
      <c r="I8" s="27">
        <f>Etiquettes!$I$6</f>
        <v>2019</v>
      </c>
      <c r="J8" s="27" t="str">
        <f>Etiquettes!$C$5</f>
        <v>France entière</v>
      </c>
      <c r="M8"/>
      <c r="U8" s="205"/>
    </row>
    <row r="9" spans="1:21">
      <c r="A9" s="10">
        <f t="shared" si="1"/>
        <v>18</v>
      </c>
      <c r="B9" t="str">
        <f>Produits!$B$28</f>
        <v>Corps gras animaux</v>
      </c>
      <c r="C9" t="str">
        <f>Secteurs!$B$32</f>
        <v>Exportations</v>
      </c>
      <c r="D9">
        <v>-1</v>
      </c>
      <c r="G9" s="27" t="str">
        <f>Etiquettes!$C$7</f>
        <v>kt</v>
      </c>
      <c r="H9" s="111" t="str">
        <f>Etiquettes!$C$4</f>
        <v>Viande bovine</v>
      </c>
      <c r="I9" s="27">
        <f>Etiquettes!$I$6</f>
        <v>2019</v>
      </c>
      <c r="J9" s="27" t="str">
        <f>Etiquettes!$C$5</f>
        <v>France entière</v>
      </c>
      <c r="K9" s="38" t="s">
        <v>535</v>
      </c>
      <c r="L9" s="38" t="s">
        <v>602</v>
      </c>
      <c r="M9" t="s">
        <v>208</v>
      </c>
      <c r="N9" s="38" t="str" cm="1">
        <f t="array" aca="1" ref="N9" ca="1">[1]!NOM_FEUILLE('Coproduits - SIFCO'!$A$1)</f>
        <v>Coproduits - SIFCO</v>
      </c>
      <c r="O9" s="38" t="str">
        <f>Etiquettes!$J$11</f>
        <v>Répartition</v>
      </c>
      <c r="P9" t="str">
        <f t="shared" ref="P9" si="4">_xlfn.CONCAT(K9," = ",MROUND(D8*100,0.01)," % (",M9,")")</f>
        <v>Part de CGA exportées = 78 % (SIFCO)</v>
      </c>
      <c r="Q9" s="10" t="str">
        <f>Etiquettes!$K$15</f>
        <v>Approximative</v>
      </c>
      <c r="R9" s="112" t="s">
        <v>664</v>
      </c>
      <c r="S9" s="111" t="str">
        <f>Etiquettes!$H$17</f>
        <v>Donnée collectée (valeur du flux ou coefficient)</v>
      </c>
      <c r="U9" s="205"/>
    </row>
    <row r="10" spans="1:21">
      <c r="A10" s="10">
        <f t="shared" si="1"/>
        <v>19</v>
      </c>
      <c r="B10" t="str">
        <f>Secteurs!$B$9</f>
        <v>Traitement thermique C3 et alimentaire</v>
      </c>
      <c r="C10" t="str">
        <f>Produits!$B$27</f>
        <v>Protéines animales transformées</v>
      </c>
      <c r="D10" s="29">
        <f>'Coproduits - SIFCO'!E32</f>
        <v>0.66</v>
      </c>
      <c r="G10" s="27" t="str">
        <f>Etiquettes!$C$7</f>
        <v>kt</v>
      </c>
      <c r="H10" s="111" t="str">
        <f>Etiquettes!$C$4</f>
        <v>Viande bovine</v>
      </c>
      <c r="I10" s="27">
        <f>Etiquettes!$J$6</f>
        <v>2023</v>
      </c>
      <c r="J10" s="27" t="str">
        <f>Etiquettes!$C$5</f>
        <v>France entière</v>
      </c>
      <c r="M10"/>
      <c r="U10" s="205" t="s">
        <v>228</v>
      </c>
    </row>
    <row r="11" spans="1:21">
      <c r="A11" s="10">
        <f t="shared" si="1"/>
        <v>19</v>
      </c>
      <c r="B11" t="str">
        <f>Produits!$B$27</f>
        <v>Protéines animales transformées</v>
      </c>
      <c r="C11" t="str">
        <f>Secteurs!$B$32</f>
        <v>Exportations</v>
      </c>
      <c r="D11">
        <v>-1</v>
      </c>
      <c r="G11" s="27" t="str">
        <f>Etiquettes!$C$7</f>
        <v>kt</v>
      </c>
      <c r="H11" s="111" t="str">
        <f>Etiquettes!$C$4</f>
        <v>Viande bovine</v>
      </c>
      <c r="I11" s="27">
        <f>Etiquettes!$J$6</f>
        <v>2023</v>
      </c>
      <c r="J11" s="27" t="str">
        <f>Etiquettes!$C$5</f>
        <v>France entière</v>
      </c>
      <c r="K11" s="38" t="s">
        <v>534</v>
      </c>
      <c r="L11" s="38" t="s">
        <v>602</v>
      </c>
      <c r="M11" t="s">
        <v>208</v>
      </c>
      <c r="N11" s="38" t="str" cm="1">
        <f t="array" aca="1" ref="N11" ca="1">[1]!NOM_FEUILLE('Coproduits - SIFCO'!$A$1)</f>
        <v>Coproduits - SIFCO</v>
      </c>
      <c r="O11" s="38" t="str">
        <f>Etiquettes!$J$11</f>
        <v>Répartition</v>
      </c>
      <c r="P11" t="str">
        <f>_xlfn.CONCAT(K11," = ",MROUND(D10*100,0.01)," % (",M11,")")</f>
        <v>Part de PAT exportées = 66 % (SIFCO)</v>
      </c>
      <c r="Q11" s="10" t="str">
        <f>Etiquettes!$K$15</f>
        <v>Approximative</v>
      </c>
      <c r="R11" s="112" t="s">
        <v>664</v>
      </c>
      <c r="S11" s="111" t="str">
        <f>Etiquettes!$H$17</f>
        <v>Donnée collectée (valeur du flux ou coefficient)</v>
      </c>
      <c r="U11" s="205"/>
    </row>
    <row r="12" spans="1:21">
      <c r="A12" s="10">
        <f t="shared" si="1"/>
        <v>20</v>
      </c>
      <c r="B12" t="str">
        <f>Secteurs!$B$9</f>
        <v>Traitement thermique C3 et alimentaire</v>
      </c>
      <c r="C12" t="str">
        <f>Produits!$B$28</f>
        <v>Corps gras animaux</v>
      </c>
      <c r="D12" s="29">
        <f>'Coproduits - SIFCO'!E33</f>
        <v>0.78</v>
      </c>
      <c r="G12" s="27" t="str">
        <f>Etiquettes!$C$7</f>
        <v>kt</v>
      </c>
      <c r="H12" s="111" t="str">
        <f>Etiquettes!$C$4</f>
        <v>Viande bovine</v>
      </c>
      <c r="I12" s="27">
        <f>Etiquettes!$J$6</f>
        <v>2023</v>
      </c>
      <c r="J12" s="27" t="str">
        <f>Etiquettes!$C$5</f>
        <v>France entière</v>
      </c>
      <c r="M12"/>
      <c r="U12" s="205"/>
    </row>
    <row r="13" spans="1:21">
      <c r="A13" s="10">
        <f t="shared" si="1"/>
        <v>20</v>
      </c>
      <c r="B13" t="str">
        <f>Produits!$B$28</f>
        <v>Corps gras animaux</v>
      </c>
      <c r="C13" t="str">
        <f>Secteurs!$B$32</f>
        <v>Exportations</v>
      </c>
      <c r="D13">
        <v>-1</v>
      </c>
      <c r="G13" s="27" t="str">
        <f>Etiquettes!$C$7</f>
        <v>kt</v>
      </c>
      <c r="H13" s="111" t="str">
        <f>Etiquettes!$C$4</f>
        <v>Viande bovine</v>
      </c>
      <c r="I13" s="27">
        <f>Etiquettes!$J$6</f>
        <v>2023</v>
      </c>
      <c r="J13" s="27" t="str">
        <f>Etiquettes!$C$5</f>
        <v>France entière</v>
      </c>
      <c r="K13" s="38" t="s">
        <v>535</v>
      </c>
      <c r="L13" s="38" t="s">
        <v>602</v>
      </c>
      <c r="M13" t="s">
        <v>208</v>
      </c>
      <c r="N13" s="38" t="str" cm="1">
        <f t="array" aca="1" ref="N13" ca="1">[1]!NOM_FEUILLE('Coproduits - SIFCO'!$A$1)</f>
        <v>Coproduits - SIFCO</v>
      </c>
      <c r="O13" s="38" t="str">
        <f>Etiquettes!$J$11</f>
        <v>Répartition</v>
      </c>
      <c r="P13" t="str">
        <f>_xlfn.CONCAT(K13," = ",MROUND(D12*100,0.01)," % (",M13,")")</f>
        <v>Part de CGA exportées = 78 % (SIFCO)</v>
      </c>
      <c r="Q13" s="10" t="str">
        <f>Etiquettes!$K$15</f>
        <v>Approximative</v>
      </c>
      <c r="R13" s="112" t="s">
        <v>664</v>
      </c>
      <c r="S13" s="111" t="str">
        <f>Etiquettes!$H$17</f>
        <v>Donnée collectée (valeur du flux ou coefficient)</v>
      </c>
      <c r="U13" s="205"/>
    </row>
  </sheetData>
  <mergeCells count="3">
    <mergeCell ref="U10:U13"/>
    <mergeCell ref="U2:U5"/>
    <mergeCell ref="U6:U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9C4E-2EBC-4906-847D-05CDF3265AB6}">
  <sheetPr>
    <tabColor theme="1"/>
  </sheetPr>
  <dimension ref="A1:Q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124" t="s">
        <v>30</v>
      </c>
      <c r="B1" s="125" t="s">
        <v>31</v>
      </c>
      <c r="C1" s="125" t="s">
        <v>32</v>
      </c>
      <c r="D1" s="125" t="s">
        <v>34</v>
      </c>
      <c r="E1" t="str" cm="1">
        <f t="array" aca="1" ref="E1:Q7"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7">_xlfn._xlws.FILTER('Contraintes '!B2:C200,ISTEXT('Contraintes '!P2:P200))</f>
        <v>Protéines animales transformées</v>
      </c>
      <c r="B2" t="str">
        <v>Exportations</v>
      </c>
      <c r="E2" t="str">
        <f ca="1"/>
        <v>kt</v>
      </c>
      <c r="F2" t="str">
        <f ca="1"/>
        <v>Viande bovine</v>
      </c>
      <c r="G2">
        <f ca="1"/>
        <v>2015</v>
      </c>
      <c r="H2" t="str">
        <f ca="1"/>
        <v>France entière</v>
      </c>
      <c r="I2" t="str">
        <f ca="1"/>
        <v>Part de PAT exportées</v>
      </c>
      <c r="J2" t="str">
        <f ca="1"/>
        <v>Extrapolation à partir des exportations tous débouchés confondus</v>
      </c>
      <c r="K2" t="str">
        <f ca="1"/>
        <v>SIFCO</v>
      </c>
      <c r="L2" t="str">
        <f ca="1"/>
        <v>Coproduits - SIFCO</v>
      </c>
      <c r="M2" t="str">
        <f ca="1"/>
        <v>Répartition</v>
      </c>
      <c r="N2" t="str">
        <f ca="1"/>
        <v>Part de PAT exportées = 47,29 % (SIFCO)</v>
      </c>
      <c r="O2" t="str">
        <f ca="1"/>
        <v>Approximative</v>
      </c>
      <c r="P2" t="str">
        <f ca="1"/>
        <v>Données collectées:Données déterminées</v>
      </c>
      <c r="Q2" t="str">
        <f ca="1"/>
        <v>Donnée collectée (valeur du flux ou coefficient)</v>
      </c>
    </row>
    <row r="3" spans="1:17">
      <c r="A3" t="str">
        <v>Corps gras animaux</v>
      </c>
      <c r="B3" t="str">
        <v>Exportations</v>
      </c>
      <c r="E3" t="str">
        <f ca="1"/>
        <v>kt</v>
      </c>
      <c r="F3" t="str">
        <f ca="1"/>
        <v>Viande bovine</v>
      </c>
      <c r="G3">
        <f ca="1"/>
        <v>2015</v>
      </c>
      <c r="H3" t="str">
        <f ca="1"/>
        <v>France entière</v>
      </c>
      <c r="I3" t="str">
        <f ca="1"/>
        <v>Part de CGA exportées</v>
      </c>
      <c r="J3" t="str">
        <f ca="1"/>
        <v>Extrapolation à partir des exportations tous débouchés confondus</v>
      </c>
      <c r="K3" t="str">
        <f ca="1"/>
        <v>SIFCO</v>
      </c>
      <c r="L3" t="str">
        <f ca="1"/>
        <v>Coproduits - SIFCO</v>
      </c>
      <c r="M3" t="str">
        <f ca="1"/>
        <v>Répartition</v>
      </c>
      <c r="N3" t="str">
        <f ca="1"/>
        <v>Part de CGA exportées = 70,41 % (SIFCO)</v>
      </c>
      <c r="O3" t="str">
        <f ca="1"/>
        <v>Approximative</v>
      </c>
      <c r="P3" t="str">
        <f ca="1"/>
        <v>Données collectées:Données déterminées</v>
      </c>
      <c r="Q3" t="str">
        <f ca="1"/>
        <v>Donnée collectée (valeur du flux ou coefficient)</v>
      </c>
    </row>
    <row r="4" spans="1:17">
      <c r="A4" t="str">
        <v>Protéines animales transformées</v>
      </c>
      <c r="B4" t="str">
        <v>Exportations</v>
      </c>
      <c r="E4" t="str">
        <f ca="1"/>
        <v>kt</v>
      </c>
      <c r="F4" t="str">
        <f ca="1"/>
        <v>Viande bovine</v>
      </c>
      <c r="G4">
        <f ca="1"/>
        <v>2019</v>
      </c>
      <c r="H4" t="str">
        <f ca="1"/>
        <v>France entière</v>
      </c>
      <c r="I4" t="str">
        <f ca="1"/>
        <v>Part de PAT exportées</v>
      </c>
      <c r="J4" t="str">
        <f ca="1"/>
        <v>Extrapolation à partir des exportations tous débouchés confondus</v>
      </c>
      <c r="K4" t="str">
        <f ca="1"/>
        <v>SIFCO</v>
      </c>
      <c r="L4" t="str">
        <f ca="1"/>
        <v>Coproduits - SIFCO</v>
      </c>
      <c r="M4" t="str">
        <f ca="1"/>
        <v>Répartition</v>
      </c>
      <c r="N4" t="str">
        <f ca="1"/>
        <v>Part de PAT exportées = 58 % (SIFCO)</v>
      </c>
      <c r="O4" t="str">
        <f ca="1"/>
        <v>Approximative</v>
      </c>
      <c r="P4" t="str">
        <f ca="1"/>
        <v>Données collectées:Données déterminées</v>
      </c>
      <c r="Q4" t="str">
        <f ca="1"/>
        <v>Donnée collectée (valeur du flux ou coefficient)</v>
      </c>
    </row>
    <row r="5" spans="1:17">
      <c r="A5" t="str">
        <v>Corps gras animaux</v>
      </c>
      <c r="B5" t="str">
        <v>Exportations</v>
      </c>
      <c r="E5" t="str">
        <f ca="1"/>
        <v>kt</v>
      </c>
      <c r="F5" t="str">
        <f ca="1"/>
        <v>Viande bovine</v>
      </c>
      <c r="G5">
        <f ca="1"/>
        <v>2019</v>
      </c>
      <c r="H5" t="str">
        <f ca="1"/>
        <v>France entière</v>
      </c>
      <c r="I5" t="str">
        <f ca="1"/>
        <v>Part de CGA exportées</v>
      </c>
      <c r="J5" t="str">
        <f ca="1"/>
        <v>Extrapolation à partir des exportations tous débouchés confondus</v>
      </c>
      <c r="K5" t="str">
        <f ca="1"/>
        <v>SIFCO</v>
      </c>
      <c r="L5" t="str">
        <f ca="1"/>
        <v>Coproduits - SIFCO</v>
      </c>
      <c r="M5" t="str">
        <f ca="1"/>
        <v>Répartition</v>
      </c>
      <c r="N5" t="str">
        <f ca="1"/>
        <v>Part de CGA exportées = 78 % (SIFCO)</v>
      </c>
      <c r="O5" t="str">
        <f ca="1"/>
        <v>Approximative</v>
      </c>
      <c r="P5" t="str">
        <f ca="1"/>
        <v>Données collectées:Données déterminées</v>
      </c>
      <c r="Q5" t="str">
        <f ca="1"/>
        <v>Donnée collectée (valeur du flux ou coefficient)</v>
      </c>
    </row>
    <row r="6" spans="1:17">
      <c r="A6" t="str">
        <v>Protéines animales transformées</v>
      </c>
      <c r="B6" t="str">
        <v>Exportations</v>
      </c>
      <c r="E6" t="str">
        <f ca="1"/>
        <v>kt</v>
      </c>
      <c r="F6" t="str">
        <f ca="1"/>
        <v>Viande bovine</v>
      </c>
      <c r="G6">
        <f ca="1"/>
        <v>2023</v>
      </c>
      <c r="H6" t="str">
        <f ca="1"/>
        <v>France entière</v>
      </c>
      <c r="I6" t="str">
        <f ca="1"/>
        <v>Part de PAT exportées</v>
      </c>
      <c r="J6" t="str">
        <f ca="1"/>
        <v>Extrapolation à partir des exportations tous débouchés confondus</v>
      </c>
      <c r="K6" t="str">
        <f ca="1"/>
        <v>SIFCO</v>
      </c>
      <c r="L6" t="str">
        <f ca="1"/>
        <v>Coproduits - SIFCO</v>
      </c>
      <c r="M6" t="str">
        <f ca="1"/>
        <v>Répartition</v>
      </c>
      <c r="N6" t="str">
        <f ca="1"/>
        <v>Part de PAT exportées = 66 % (SIFCO)</v>
      </c>
      <c r="O6" t="str">
        <f ca="1"/>
        <v>Approximative</v>
      </c>
      <c r="P6" t="str">
        <f ca="1"/>
        <v>Données collectées:Données déterminées</v>
      </c>
      <c r="Q6" t="str">
        <f ca="1"/>
        <v>Donnée collectée (valeur du flux ou coefficient)</v>
      </c>
    </row>
    <row r="7" spans="1:17">
      <c r="A7" t="str">
        <v>Corps gras animaux</v>
      </c>
      <c r="B7" t="str">
        <v>Exportations</v>
      </c>
      <c r="E7" t="str">
        <f ca="1"/>
        <v>kt</v>
      </c>
      <c r="F7" t="str">
        <f ca="1"/>
        <v>Viande bovine</v>
      </c>
      <c r="G7">
        <f ca="1"/>
        <v>2023</v>
      </c>
      <c r="H7" t="str">
        <f ca="1"/>
        <v>France entière</v>
      </c>
      <c r="I7" t="str">
        <f ca="1"/>
        <v>Part de CGA exportées</v>
      </c>
      <c r="J7" t="str">
        <f ca="1"/>
        <v>Extrapolation à partir des exportations tous débouchés confondus</v>
      </c>
      <c r="K7" t="str">
        <f ca="1"/>
        <v>SIFCO</v>
      </c>
      <c r="L7" t="str">
        <f ca="1"/>
        <v>Coproduits - SIFCO</v>
      </c>
      <c r="M7" t="str">
        <f ca="1"/>
        <v>Répartition</v>
      </c>
      <c r="N7" t="str">
        <f ca="1"/>
        <v>Part de CGA exportées = 78 % (SIFCO)</v>
      </c>
      <c r="O7" t="str">
        <f ca="1"/>
        <v>Approximative</v>
      </c>
      <c r="P7" t="str">
        <f ca="1"/>
        <v>Données collectées:Données déterminées</v>
      </c>
      <c r="Q7" t="str">
        <f ca="1"/>
        <v>Donnée collectée (valeur du flux ou coefficient)</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D42C-847E-45C9-8FD0-C72337A24091}">
  <sheetPr>
    <tabColor rgb="FFFFC000"/>
  </sheetPr>
  <dimension ref="A1:AC35"/>
  <sheetViews>
    <sheetView zoomScaleNormal="100" workbookViewId="0">
      <selection activeCell="P36" sqref="P36"/>
    </sheetView>
  </sheetViews>
  <sheetFormatPr baseColWidth="10" defaultRowHeight="14.4"/>
  <cols>
    <col min="1" max="1" width="8.44140625" style="58" customWidth="1"/>
    <col min="2" max="2" width="17.109375" style="58" bestFit="1" customWidth="1"/>
    <col min="3" max="8" width="8.77734375" style="58" bestFit="1" customWidth="1"/>
    <col min="9" max="9" width="7.6640625" style="58" bestFit="1" customWidth="1"/>
    <col min="10" max="11" width="8.77734375" style="58" bestFit="1" customWidth="1"/>
    <col min="12" max="12" width="8.6640625" style="58" bestFit="1" customWidth="1"/>
    <col min="13" max="14" width="8.77734375" style="58" bestFit="1" customWidth="1"/>
    <col min="15" max="15" width="10.21875" style="58" bestFit="1" customWidth="1"/>
    <col min="16" max="17" width="10" style="58" bestFit="1" customWidth="1"/>
    <col min="18" max="19" width="7.6640625" style="58" bestFit="1" customWidth="1"/>
    <col min="20" max="20" width="8.6640625" style="58" bestFit="1" customWidth="1"/>
    <col min="21" max="21" width="7.6640625" style="58" bestFit="1" customWidth="1"/>
    <col min="22" max="22" width="10.44140625" style="58" bestFit="1" customWidth="1"/>
    <col min="23" max="23" width="16.77734375" style="58" bestFit="1" customWidth="1"/>
    <col min="24" max="25" width="8.6640625" style="58" bestFit="1" customWidth="1"/>
    <col min="26" max="26" width="7.6640625" style="58" bestFit="1" customWidth="1"/>
    <col min="27" max="28" width="5.6640625" style="58" bestFit="1" customWidth="1"/>
    <col min="29" max="29" width="7.6640625" style="58" bestFit="1" customWidth="1"/>
    <col min="30" max="16384" width="11.5546875" style="58"/>
  </cols>
  <sheetData>
    <row r="1" spans="1:29">
      <c r="A1" s="57" t="s">
        <v>201</v>
      </c>
      <c r="C1" s="222" t="s">
        <v>202</v>
      </c>
      <c r="D1" s="222"/>
      <c r="E1" s="222"/>
      <c r="F1" s="222" t="s">
        <v>125</v>
      </c>
      <c r="G1" s="222"/>
      <c r="H1" s="222"/>
      <c r="I1" s="222" t="s">
        <v>203</v>
      </c>
      <c r="J1" s="222"/>
      <c r="K1" s="222"/>
      <c r="L1" s="222" t="s">
        <v>204</v>
      </c>
      <c r="M1" s="222"/>
      <c r="N1" s="222"/>
      <c r="O1" s="222" t="s">
        <v>205</v>
      </c>
      <c r="P1" s="222"/>
      <c r="Q1" s="222"/>
      <c r="X1" s="221" t="s">
        <v>206</v>
      </c>
      <c r="Y1" s="221"/>
      <c r="Z1" s="221"/>
      <c r="AA1" s="222" t="s">
        <v>207</v>
      </c>
      <c r="AB1" s="222"/>
      <c r="AC1" s="222"/>
    </row>
    <row r="2" spans="1:29">
      <c r="B2" s="57" t="s">
        <v>65</v>
      </c>
      <c r="C2" s="116">
        <v>2015</v>
      </c>
      <c r="D2" s="116">
        <v>2019</v>
      </c>
      <c r="E2" s="116">
        <v>2023</v>
      </c>
      <c r="F2" s="116">
        <v>2015</v>
      </c>
      <c r="G2" s="116">
        <v>2019</v>
      </c>
      <c r="H2" s="116">
        <v>2023</v>
      </c>
      <c r="I2" s="116">
        <v>2015</v>
      </c>
      <c r="J2" s="116">
        <v>2019</v>
      </c>
      <c r="K2" s="116">
        <v>2023</v>
      </c>
      <c r="L2" s="116">
        <v>2015</v>
      </c>
      <c r="M2" s="116">
        <v>2019</v>
      </c>
      <c r="N2" s="116">
        <v>2023</v>
      </c>
      <c r="O2" s="116">
        <v>2015</v>
      </c>
      <c r="P2" s="116">
        <v>2019</v>
      </c>
      <c r="Q2" s="116">
        <v>2023</v>
      </c>
      <c r="X2" s="116">
        <v>2015</v>
      </c>
      <c r="Y2" s="116">
        <v>2019</v>
      </c>
      <c r="Z2" s="116">
        <v>2023</v>
      </c>
      <c r="AA2" s="116">
        <v>2015</v>
      </c>
      <c r="AB2" s="116">
        <v>2019</v>
      </c>
      <c r="AC2" s="116">
        <v>2023</v>
      </c>
    </row>
    <row r="3" spans="1:29">
      <c r="B3" s="58" t="s">
        <v>208</v>
      </c>
      <c r="D3" s="117">
        <v>838298</v>
      </c>
      <c r="E3" s="61">
        <v>813626</v>
      </c>
      <c r="F3" s="61"/>
      <c r="G3" s="61">
        <v>523683</v>
      </c>
      <c r="H3" s="61">
        <v>544515</v>
      </c>
      <c r="I3" s="61"/>
      <c r="J3" s="61">
        <v>827009</v>
      </c>
      <c r="K3" s="61">
        <v>502744</v>
      </c>
      <c r="L3" s="61"/>
      <c r="M3" s="61">
        <v>137631</v>
      </c>
      <c r="N3" s="61">
        <v>118566</v>
      </c>
      <c r="O3" s="61">
        <v>2470429</v>
      </c>
      <c r="P3" s="66">
        <f>D3+G3+J3+M3</f>
        <v>2326621</v>
      </c>
      <c r="Q3" s="66">
        <f>E3+H3+K3+N3</f>
        <v>1979451</v>
      </c>
      <c r="R3" s="66"/>
      <c r="S3" s="66"/>
      <c r="W3" s="58" t="s">
        <v>59</v>
      </c>
      <c r="X3" s="81">
        <f>('Anatomie - Blézat'!F13+'Anatomie - Blézat'!F26)/O3</f>
        <v>0.349533429230445</v>
      </c>
      <c r="Y3" s="81">
        <f>('Anatomie - Blézat'!G13+'Anatomie - Blézat'!G26)/P4</f>
        <v>0.34775145090196541</v>
      </c>
      <c r="Z3" s="81">
        <f>('Anatomie - Blézat'!H13+'Anatomie - Blézat'!H26)/Q4</f>
        <v>0.38980395619790298</v>
      </c>
      <c r="AA3" s="81">
        <f>('Anatomie - Blézat'!F11+'Anatomie - Blézat'!F12+'Anatomie - Blézat'!F24+'Anatomie - Blézat'!F25)/C8</f>
        <v>0.42260348754757637</v>
      </c>
      <c r="AB3" s="81">
        <f>('Anatomie - Blézat'!G11+'Anatomie - Blézat'!G12+'Anatomie - Blézat'!G24+'Anatomie - Blézat'!G25)/D8</f>
        <v>0.39859158490799068</v>
      </c>
      <c r="AC3" s="81">
        <f>('Anatomie - Blézat'!H11+'Anatomie - Blézat'!H12+'Anatomie - Blézat'!H24+'Anatomie - Blézat'!H25)/E8</f>
        <v>0.43350384312491219</v>
      </c>
    </row>
    <row r="4" spans="1:29">
      <c r="B4" s="58" t="s">
        <v>209</v>
      </c>
      <c r="C4" s="61">
        <f>'Anatomie - Blézat'!F13+'Anatomie - Blézat'!F26+'Anatomie - Blézat'!F51+'Anatomie - Blézat'!F63</f>
        <v>909297.68004033901</v>
      </c>
      <c r="D4" s="61">
        <f>'Anatomie - Blézat'!G13+'Anatomie - Blézat'!G26+'Anatomie - Blézat'!G51+'Anatomie - Blézat'!G63</f>
        <v>894777.01279615448</v>
      </c>
      <c r="E4" s="61">
        <f>'Anatomie - Blézat'!H13+'Anatomie - Blézat'!H26+'Anatomie - Blézat'!H51+'Anatomie - Blézat'!H63</f>
        <v>813282.8169940837</v>
      </c>
      <c r="F4" s="66">
        <f>'Anatomie - Blézat'!F39</f>
        <v>576147.41191011248</v>
      </c>
      <c r="G4" s="66">
        <f>'Anatomie - Blézat'!G39</f>
        <v>581164.77033707884</v>
      </c>
      <c r="H4" s="66">
        <f>'Anatomie - Blézat'!H39</f>
        <v>544997.82438202261</v>
      </c>
      <c r="I4" s="66"/>
      <c r="J4" s="66"/>
      <c r="O4" s="66">
        <f>C4+F4+I3+L3</f>
        <v>1485445.0919504515</v>
      </c>
      <c r="P4" s="66">
        <f>D4+G4+J3+M3</f>
        <v>2440581.7831332334</v>
      </c>
      <c r="Q4" s="66">
        <f>E4+H4+K3+N3</f>
        <v>1979590.6413761063</v>
      </c>
      <c r="R4" s="66"/>
      <c r="S4" s="66"/>
      <c r="W4" s="58" t="s">
        <v>125</v>
      </c>
      <c r="X4" s="60">
        <f>'Anatomie - Blézat'!F39/O3</f>
        <v>0.23321755529509752</v>
      </c>
      <c r="Y4" s="60">
        <f>'Anatomie - Blézat'!G39/P4</f>
        <v>0.23812550530102541</v>
      </c>
      <c r="Z4" s="60">
        <f>'Anatomie - Blézat'!H39/Q4</f>
        <v>0.27530834556945016</v>
      </c>
      <c r="AA4" s="60">
        <f>('Anatomie - Blézat'!F37+'Anatomie - Blézat'!F38)/C8</f>
        <v>0.20621187024534623</v>
      </c>
      <c r="AB4" s="60">
        <f>('Anatomie - Blézat'!G37+'Anatomie - Blézat'!G38)/D8</f>
        <v>0.20015014942660853</v>
      </c>
      <c r="AC4" s="60">
        <f>('Anatomie - Blézat'!H37+'Anatomie - Blézat'!H38)/E8</f>
        <v>0.2224769680624912</v>
      </c>
    </row>
    <row r="5" spans="1:29">
      <c r="W5" s="58" t="s">
        <v>131</v>
      </c>
      <c r="X5" s="60">
        <f>'Anatomie - Blézat'!F51/O3</f>
        <v>1.7205705297878762E-2</v>
      </c>
      <c r="Y5" s="60">
        <f>'Anatomie - Blézat'!G51/P4</f>
        <v>1.7499034572474533E-2</v>
      </c>
      <c r="Z5" s="60">
        <f>'Anatomie - Blézat'!H51/Q4</f>
        <v>1.9465636410505499E-2</v>
      </c>
      <c r="AA5" s="60">
        <f>('Anatomie - Blézat'!F49+'Anatomie - Blézat'!F50)/C8</f>
        <v>2.3164186667895149E-2</v>
      </c>
      <c r="AB5" s="60">
        <f>('Anatomie - Blézat'!G49+'Anatomie - Blézat'!G50)/D8</f>
        <v>2.2395267114156434E-2</v>
      </c>
      <c r="AC5" s="60">
        <f>('Anatomie - Blézat'!H49+'Anatomie - Blézat'!H50)/E8</f>
        <v>2.3951153898191094E-2</v>
      </c>
    </row>
    <row r="6" spans="1:29">
      <c r="C6" s="221" t="s">
        <v>211</v>
      </c>
      <c r="D6" s="221"/>
      <c r="E6" s="221"/>
      <c r="F6" s="222" t="s">
        <v>212</v>
      </c>
      <c r="G6" s="222"/>
      <c r="H6" s="222"/>
      <c r="W6" s="58" t="s">
        <v>134</v>
      </c>
      <c r="X6" s="60">
        <f>'Anatomie - Blézat'!F63/O3</f>
        <v>1.3336496076862222E-3</v>
      </c>
      <c r="Y6" s="60">
        <f>'Anatomie - Blézat'!G63/P4</f>
        <v>1.3739886488711062E-3</v>
      </c>
      <c r="Z6" s="60">
        <f>'Anatomie - Blézat'!H63/Q4</f>
        <v>1.5642434359631552E-3</v>
      </c>
      <c r="AA6" s="60">
        <f>('Anatomie - Blézat'!F61+'Anatomie - Blézat'!F62)/C8</f>
        <v>1.7955037545492238E-3</v>
      </c>
      <c r="AB6" s="60">
        <f>('Anatomie - Blézat'!G61+'Anatomie - Blézat'!G62)/D8</f>
        <v>1.7584308823350146E-3</v>
      </c>
      <c r="AC6" s="60">
        <f>('Anatomie - Blézat'!H61+'Anatomie - Blézat'!H62)/E8</f>
        <v>1.9246961403619387E-3</v>
      </c>
    </row>
    <row r="7" spans="1:29">
      <c r="B7" s="57" t="s">
        <v>210</v>
      </c>
      <c r="C7" s="116">
        <v>2015</v>
      </c>
      <c r="D7" s="116">
        <v>2019</v>
      </c>
      <c r="E7" s="116">
        <v>2023</v>
      </c>
      <c r="F7" s="116">
        <v>2015</v>
      </c>
      <c r="G7" s="116">
        <v>2019</v>
      </c>
      <c r="H7" s="116">
        <v>2023</v>
      </c>
      <c r="W7" s="58" t="s">
        <v>203</v>
      </c>
      <c r="X7" s="60"/>
      <c r="Y7" s="60">
        <f>J3/P4</f>
        <v>0.33885731906852185</v>
      </c>
      <c r="Z7" s="60">
        <f>K3/Q4</f>
        <v>0.25396361727115413</v>
      </c>
      <c r="AA7" s="60"/>
      <c r="AB7" s="60"/>
    </row>
    <row r="8" spans="1:29">
      <c r="B8" s="58" t="s">
        <v>208</v>
      </c>
      <c r="C8" s="117">
        <v>868280</v>
      </c>
      <c r="D8" s="117">
        <v>902367</v>
      </c>
      <c r="E8" s="61">
        <v>761289</v>
      </c>
      <c r="F8" s="61"/>
      <c r="G8" s="61"/>
      <c r="W8" s="58" t="s">
        <v>204</v>
      </c>
      <c r="X8" s="60"/>
      <c r="Y8" s="60">
        <f>M3/P4</f>
        <v>5.6392701507141672E-2</v>
      </c>
      <c r="Z8" s="60">
        <f>N3/Q4</f>
        <v>5.9894201115024068E-2</v>
      </c>
      <c r="AA8" s="60"/>
      <c r="AB8" s="60"/>
    </row>
    <row r="9" spans="1:29">
      <c r="B9" s="58" t="s">
        <v>209</v>
      </c>
      <c r="F9" s="61">
        <f>'Anatomie - Blézat'!F11+'Anatomie - Blézat'!F12+'Anatomie - Blézat'!F24+'Anatomie - Blézat'!F25+'Anatomie - Blézat'!F37+'Anatomie - Blézat'!F38+'Anatomie - Blézat'!F49+'Anatomie - Blézat'!F50+'Anatomie - Blézat'!F61+'Anatomie - Blézat'!F62</f>
        <v>567659.7988644389</v>
      </c>
      <c r="G9" s="61">
        <f>'Anatomie - Blézat'!G11+'Anatomie - Blézat'!G12+'Anatomie - Blézat'!G24+'Anatomie - Blézat'!G25+'Anatomie - Blézat'!G37+'Anatomie - Blézat'!G38+'Anatomie - Blézat'!G49+'Anatomie - Blézat'!G50+'Anatomie - Blézat'!G61+'Anatomie - Blézat'!G62</f>
        <v>562080.28258630924</v>
      </c>
      <c r="H9" s="61">
        <f>'Anatomie - Blézat'!H11+'Anatomie - Blézat'!H12+'Anatomie - Blézat'!H24+'Anatomie - Blézat'!H25+'Anatomie - Blézat'!H37+'Anatomie - Blézat'!H38+'Anatomie - Blézat'!H49+'Anatomie - Blézat'!H50+'Anatomie - Blézat'!H61+'Anatomie - Blézat'!H62</f>
        <v>519089.97576804715</v>
      </c>
      <c r="I9" s="61"/>
      <c r="J9" s="61"/>
    </row>
    <row r="10" spans="1:29">
      <c r="V10" s="58" t="s">
        <v>230</v>
      </c>
      <c r="W10" s="58" t="s">
        <v>213</v>
      </c>
      <c r="X10" s="60">
        <f>'Anatomie - Blézat'!F75/O3</f>
        <v>9.7157956506069721E-4</v>
      </c>
      <c r="Y10" s="60">
        <f>'Anatomie - Blézat'!G75/P4</f>
        <v>4.736548233385821E-4</v>
      </c>
      <c r="Z10" s="60">
        <f>'Anatomie - Blézat'!H75/Q4</f>
        <v>2.6448818376377531E-4</v>
      </c>
      <c r="AA10" s="60">
        <f>('Anatomie - Blézat'!F73+'Anatomie - Blézat'!F74)/C8</f>
        <v>1.3080457916801033E-3</v>
      </c>
      <c r="AB10" s="60">
        <f>('Anatomie - Blézat'!G73+'Anatomie - Blézat'!G74)/D8</f>
        <v>6.061835151329781E-4</v>
      </c>
      <c r="AC10" s="60">
        <f>('Anatomie - Blézat'!H73+'Anatomie - Blézat'!H74)/E8</f>
        <v>3.254348874080671E-4</v>
      </c>
    </row>
    <row r="12" spans="1:29">
      <c r="A12" s="57" t="s">
        <v>214</v>
      </c>
      <c r="C12" s="222" t="s">
        <v>215</v>
      </c>
      <c r="D12" s="222"/>
      <c r="E12" s="222"/>
      <c r="F12" s="221" t="s">
        <v>216</v>
      </c>
      <c r="G12" s="221"/>
      <c r="H12" s="221"/>
      <c r="I12" s="221" t="s">
        <v>84</v>
      </c>
      <c r="J12" s="221"/>
      <c r="K12" s="221"/>
      <c r="L12" s="222" t="s">
        <v>85</v>
      </c>
      <c r="M12" s="222"/>
      <c r="N12" s="222"/>
      <c r="O12" s="222" t="s">
        <v>86</v>
      </c>
      <c r="P12" s="222"/>
      <c r="Q12" s="222"/>
      <c r="R12" s="222" t="s">
        <v>90</v>
      </c>
      <c r="S12" s="222"/>
      <c r="T12" s="222"/>
      <c r="U12" s="222" t="s">
        <v>91</v>
      </c>
      <c r="V12" s="222"/>
      <c r="W12" s="222"/>
      <c r="X12" s="222" t="s">
        <v>92</v>
      </c>
      <c r="Y12" s="222"/>
      <c r="Z12" s="222"/>
      <c r="AA12" s="222" t="s">
        <v>217</v>
      </c>
      <c r="AB12" s="222"/>
      <c r="AC12" s="222"/>
    </row>
    <row r="13" spans="1:29">
      <c r="B13" s="57" t="s">
        <v>65</v>
      </c>
      <c r="C13" s="116">
        <v>2015</v>
      </c>
      <c r="D13" s="116">
        <v>2019</v>
      </c>
      <c r="E13" s="116">
        <v>2023</v>
      </c>
      <c r="F13" s="116">
        <v>2015</v>
      </c>
      <c r="G13" s="116">
        <v>2019</v>
      </c>
      <c r="H13" s="116">
        <v>2023</v>
      </c>
      <c r="I13" s="116">
        <v>2015</v>
      </c>
      <c r="J13" s="116">
        <v>2019</v>
      </c>
      <c r="K13" s="116">
        <v>2023</v>
      </c>
      <c r="L13" s="116">
        <v>2015</v>
      </c>
      <c r="M13" s="116">
        <v>2019</v>
      </c>
      <c r="N13" s="116">
        <v>2023</v>
      </c>
      <c r="O13" s="116">
        <v>2015</v>
      </c>
      <c r="P13" s="116">
        <v>2019</v>
      </c>
      <c r="Q13" s="116">
        <v>2023</v>
      </c>
      <c r="R13" s="116">
        <v>2015</v>
      </c>
      <c r="S13" s="116">
        <v>2019</v>
      </c>
      <c r="T13" s="116">
        <v>2023</v>
      </c>
      <c r="U13" s="116">
        <v>2015</v>
      </c>
      <c r="V13" s="116">
        <v>2019</v>
      </c>
      <c r="W13" s="116">
        <v>2023</v>
      </c>
      <c r="X13" s="116">
        <v>2015</v>
      </c>
      <c r="Y13" s="116">
        <v>2019</v>
      </c>
      <c r="Z13" s="116">
        <v>2023</v>
      </c>
      <c r="AA13" s="116">
        <v>2015</v>
      </c>
      <c r="AB13" s="116">
        <v>2019</v>
      </c>
      <c r="AC13" s="116">
        <v>2023</v>
      </c>
    </row>
    <row r="14" spans="1:29">
      <c r="B14" s="58" t="s">
        <v>218</v>
      </c>
      <c r="C14" s="117">
        <f>539692+199925+551</f>
        <v>740168</v>
      </c>
      <c r="D14" s="117">
        <f>517151+165657+567</f>
        <v>683375</v>
      </c>
      <c r="E14" s="117">
        <f>436840+138740+675</f>
        <v>576255</v>
      </c>
      <c r="F14" s="118">
        <v>33985</v>
      </c>
      <c r="G14" s="118">
        <v>36044</v>
      </c>
      <c r="H14" s="118">
        <v>35741</v>
      </c>
      <c r="I14" s="118">
        <v>40198</v>
      </c>
      <c r="J14" s="118">
        <v>30073</v>
      </c>
      <c r="K14" s="118">
        <v>21537</v>
      </c>
      <c r="L14" s="118">
        <f>423609+199925</f>
        <v>623534</v>
      </c>
      <c r="M14" s="118">
        <f>396567+165657</f>
        <v>562224</v>
      </c>
      <c r="N14" s="118">
        <f>313185+138740</f>
        <v>451925</v>
      </c>
      <c r="O14" s="118"/>
      <c r="P14" s="118">
        <v>16986</v>
      </c>
      <c r="Q14" s="118">
        <v>25631</v>
      </c>
      <c r="R14" s="118">
        <f>2184+551</f>
        <v>2735</v>
      </c>
      <c r="S14" s="118">
        <f>649+567</f>
        <v>1216</v>
      </c>
      <c r="T14" s="118">
        <f>355+675</f>
        <v>1030</v>
      </c>
      <c r="U14" s="118">
        <v>37049</v>
      </c>
      <c r="V14" s="118">
        <v>36832</v>
      </c>
      <c r="W14" s="118">
        <v>11625</v>
      </c>
      <c r="X14" s="118">
        <v>2667</v>
      </c>
      <c r="Y14" s="118"/>
      <c r="Z14" s="118">
        <v>1094</v>
      </c>
      <c r="AA14" s="118"/>
      <c r="AB14" s="118"/>
      <c r="AC14" s="118">
        <f>1090+26582</f>
        <v>27672</v>
      </c>
    </row>
    <row r="15" spans="1:29">
      <c r="B15" s="58" t="s">
        <v>219</v>
      </c>
      <c r="C15" s="117">
        <v>426092</v>
      </c>
      <c r="D15" s="117">
        <v>409655</v>
      </c>
      <c r="E15" s="117">
        <v>339009</v>
      </c>
      <c r="F15" s="118">
        <v>47140</v>
      </c>
      <c r="G15" s="118">
        <v>30874</v>
      </c>
      <c r="H15" s="118">
        <v>15566</v>
      </c>
      <c r="I15" s="118">
        <v>85538</v>
      </c>
      <c r="J15" s="118">
        <v>32897</v>
      </c>
      <c r="K15" s="118">
        <v>31266</v>
      </c>
      <c r="L15" s="118">
        <v>49749</v>
      </c>
      <c r="M15" s="118">
        <v>64734</v>
      </c>
      <c r="N15" s="118">
        <v>52950</v>
      </c>
      <c r="O15" s="118"/>
      <c r="P15" s="118">
        <v>5578</v>
      </c>
      <c r="Q15" s="118">
        <v>4197</v>
      </c>
      <c r="R15" s="118">
        <f>43747+3902</f>
        <v>47649</v>
      </c>
      <c r="S15" s="118">
        <f>2197+80848</f>
        <v>83045</v>
      </c>
      <c r="T15" s="118">
        <f>1313+158865</f>
        <v>160178</v>
      </c>
      <c r="U15" s="118"/>
      <c r="V15" s="118"/>
      <c r="W15" s="118"/>
      <c r="X15" s="118">
        <v>196016</v>
      </c>
      <c r="Y15" s="118">
        <v>192527</v>
      </c>
      <c r="Z15" s="118">
        <f>70980+2944</f>
        <v>73924</v>
      </c>
      <c r="AA15" s="118"/>
      <c r="AB15" s="118"/>
      <c r="AC15" s="118">
        <v>928</v>
      </c>
    </row>
    <row r="17" spans="1:29">
      <c r="C17" s="222" t="s">
        <v>215</v>
      </c>
      <c r="D17" s="222"/>
      <c r="E17" s="222"/>
      <c r="F17" s="222" t="s">
        <v>90</v>
      </c>
      <c r="G17" s="222"/>
      <c r="H17" s="222"/>
      <c r="I17" s="222" t="s">
        <v>91</v>
      </c>
      <c r="J17" s="222"/>
      <c r="K17" s="222"/>
    </row>
    <row r="18" spans="1:29">
      <c r="B18" s="57" t="s">
        <v>210</v>
      </c>
      <c r="C18" s="116">
        <v>2018</v>
      </c>
      <c r="D18" s="116">
        <v>2019</v>
      </c>
      <c r="E18" s="116">
        <v>2023</v>
      </c>
      <c r="F18" s="116">
        <v>2018</v>
      </c>
      <c r="G18" s="116">
        <v>2019</v>
      </c>
      <c r="H18" s="116">
        <v>2023</v>
      </c>
      <c r="I18" s="116">
        <v>2018</v>
      </c>
      <c r="J18" s="116">
        <v>2019</v>
      </c>
      <c r="K18" s="116">
        <v>2023</v>
      </c>
    </row>
    <row r="19" spans="1:29">
      <c r="B19" s="58" t="s">
        <v>74</v>
      </c>
      <c r="C19" s="117">
        <v>211721</v>
      </c>
      <c r="D19" s="117">
        <f>223219</f>
        <v>223219</v>
      </c>
      <c r="E19" s="117">
        <v>187698</v>
      </c>
      <c r="F19" s="118">
        <v>163571</v>
      </c>
      <c r="G19" s="118">
        <v>177520</v>
      </c>
      <c r="H19" s="118">
        <f>141936+1692</f>
        <v>143628</v>
      </c>
      <c r="I19" s="118">
        <v>48150</v>
      </c>
      <c r="J19" s="118">
        <v>45699</v>
      </c>
      <c r="K19" s="118">
        <v>44070</v>
      </c>
      <c r="L19" s="83"/>
      <c r="M19" s="83"/>
    </row>
    <row r="20" spans="1:29">
      <c r="B20" s="58" t="s">
        <v>75</v>
      </c>
      <c r="C20" s="117">
        <v>111536</v>
      </c>
      <c r="D20" s="117">
        <v>97822</v>
      </c>
      <c r="E20" s="117">
        <v>70719</v>
      </c>
      <c r="F20" s="118">
        <f>9157+102379</f>
        <v>111536</v>
      </c>
      <c r="G20" s="118">
        <f>10402+87420</f>
        <v>97822</v>
      </c>
      <c r="H20" s="118">
        <f>3547+67172</f>
        <v>70719</v>
      </c>
      <c r="I20" s="118"/>
      <c r="J20" s="118"/>
      <c r="K20" s="117"/>
      <c r="Z20" s="63"/>
      <c r="AA20" s="63"/>
      <c r="AB20" s="63"/>
      <c r="AC20" s="63"/>
    </row>
    <row r="24" spans="1:29">
      <c r="E24" s="66"/>
    </row>
    <row r="25" spans="1:29">
      <c r="E25" s="66"/>
    </row>
    <row r="30" spans="1:29">
      <c r="A30" s="57" t="s">
        <v>220</v>
      </c>
      <c r="C30" s="221" t="s">
        <v>221</v>
      </c>
      <c r="D30" s="221"/>
      <c r="E30" s="221"/>
    </row>
    <row r="31" spans="1:29">
      <c r="B31" s="57" t="s">
        <v>65</v>
      </c>
      <c r="C31" s="116">
        <v>2015</v>
      </c>
      <c r="D31" s="116">
        <v>2019</v>
      </c>
      <c r="E31" s="116">
        <v>2023</v>
      </c>
    </row>
    <row r="32" spans="1:29">
      <c r="B32" s="58" t="s">
        <v>218</v>
      </c>
      <c r="C32" s="114">
        <f>350000/C14</f>
        <v>0.47286561969714985</v>
      </c>
      <c r="D32" s="114">
        <v>0.57999999999999996</v>
      </c>
      <c r="E32" s="114">
        <v>0.66</v>
      </c>
      <c r="F32" s="114"/>
      <c r="G32" s="114"/>
    </row>
    <row r="33" spans="2:16">
      <c r="B33" s="58" t="s">
        <v>219</v>
      </c>
      <c r="C33" s="114">
        <f>300000/C15</f>
        <v>0.7040732987242192</v>
      </c>
      <c r="D33" s="114">
        <v>0.78</v>
      </c>
      <c r="E33" s="114">
        <v>0.78</v>
      </c>
      <c r="F33" s="114"/>
      <c r="G33" s="114"/>
    </row>
    <row r="35" spans="2:16">
      <c r="P35" s="126" t="s">
        <v>605</v>
      </c>
    </row>
  </sheetData>
  <mergeCells count="22">
    <mergeCell ref="AA1:AC1"/>
    <mergeCell ref="X1:Z1"/>
    <mergeCell ref="F6:H6"/>
    <mergeCell ref="C6:E6"/>
    <mergeCell ref="O1:Q1"/>
    <mergeCell ref="AA12:AC12"/>
    <mergeCell ref="X12:Z12"/>
    <mergeCell ref="U12:W12"/>
    <mergeCell ref="R12:T12"/>
    <mergeCell ref="O12:Q12"/>
    <mergeCell ref="I12:K12"/>
    <mergeCell ref="F12:H12"/>
    <mergeCell ref="C12:E12"/>
    <mergeCell ref="C30:E30"/>
    <mergeCell ref="L1:N1"/>
    <mergeCell ref="I1:K1"/>
    <mergeCell ref="F1:H1"/>
    <mergeCell ref="C1:E1"/>
    <mergeCell ref="L12:N12"/>
    <mergeCell ref="I17:K17"/>
    <mergeCell ref="F17:H17"/>
    <mergeCell ref="C17:E17"/>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6014-1DBF-47A6-AB79-1999F8DA3E7E}">
  <sheetPr>
    <tabColor rgb="FF92D050"/>
  </sheetPr>
  <dimension ref="A1:U59"/>
  <sheetViews>
    <sheetView workbookViewId="0">
      <pane xSplit="3" ySplit="1" topLeftCell="D31" activePane="bottomRight" state="frozen"/>
      <selection pane="topRight" activeCell="D1" sqref="D1"/>
      <selection pane="bottomLeft" activeCell="A2" sqref="A2"/>
      <selection pane="bottomRight" activeCell="M41" sqref="M4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9" width="14.44140625" style="28" customWidth="1"/>
    <col min="20" max="20" width="14.33203125" style="10" customWidth="1"/>
    <col min="21" max="21" width="13.109375" customWidth="1"/>
  </cols>
  <sheetData>
    <row r="1" spans="1:21" ht="76.2" thickBot="1">
      <c r="A1" s="23" t="s">
        <v>39</v>
      </c>
      <c r="B1" s="24" t="s">
        <v>30</v>
      </c>
      <c r="C1" s="24" t="s">
        <v>31</v>
      </c>
      <c r="D1" s="24" t="s">
        <v>40</v>
      </c>
      <c r="E1" s="24" t="s">
        <v>41</v>
      </c>
      <c r="F1" s="24" t="s">
        <v>42</v>
      </c>
      <c r="G1" s="25" t="str">
        <f>Etiquettes!$A$7</f>
        <v>Unité</v>
      </c>
      <c r="H1" s="25" t="str">
        <f>Etiquettes!$A$4</f>
        <v>Filière</v>
      </c>
      <c r="I1" s="25" t="str">
        <f>Etiquettes!$A$6</f>
        <v>Année</v>
      </c>
      <c r="J1" s="25" t="str">
        <f>Etiquettes!$A$5</f>
        <v>Territoire</v>
      </c>
      <c r="K1" s="25" t="str">
        <f>Etiquettes!$A$12</f>
        <v>Traduction</v>
      </c>
      <c r="L1" s="25" t="str">
        <f>Etiquettes!$A$10</f>
        <v>Hypothèse</v>
      </c>
      <c r="M1" s="25" t="str">
        <f>Etiquettes!$A$9</f>
        <v>Source</v>
      </c>
      <c r="N1" s="25" t="str">
        <f>Etiquettes!$A$13</f>
        <v>Onglet source fichier Excel</v>
      </c>
      <c r="O1" s="25" t="str">
        <f>Etiquettes!$A$11</f>
        <v>Type de donnée collectée</v>
      </c>
      <c r="P1" s="25" t="str">
        <f>Etiquettes!$A$8</f>
        <v>Information collectée</v>
      </c>
      <c r="Q1" s="25" t="str">
        <f>Etiquettes!$A$15</f>
        <v>Fiabilité des données</v>
      </c>
      <c r="R1" s="25" t="str">
        <f>Etiquettes!$A$16</f>
        <v>Méthode</v>
      </c>
      <c r="S1" s="25" t="str">
        <f>Etiquettes!$A$17</f>
        <v>Analyse des résultats</v>
      </c>
      <c r="T1" s="24" t="s">
        <v>3</v>
      </c>
      <c r="U1" s="26" t="s">
        <v>5</v>
      </c>
    </row>
    <row r="2" spans="1:21" ht="14.4" customHeight="1">
      <c r="A2" s="10">
        <f>'Contraintes '!A12+1</f>
        <v>21</v>
      </c>
      <c r="B2" t="str">
        <f>Secteurs!$B$31</f>
        <v>Importations</v>
      </c>
      <c r="C2" t="str">
        <f>Produits!$B$20</f>
        <v>Viande de gros bovins</v>
      </c>
      <c r="D2" s="29">
        <f>'Consommation - IDELE'!M59</f>
        <v>0.4823529411764706</v>
      </c>
      <c r="G2" s="27" t="str">
        <f>Etiquettes!$C$7</f>
        <v>kt</v>
      </c>
      <c r="H2" s="111" t="str">
        <f>Etiquettes!$C$4</f>
        <v>Viande bovine</v>
      </c>
      <c r="I2" s="27">
        <f>Etiquettes!$H$6</f>
        <v>2015</v>
      </c>
      <c r="J2" s="27" t="str">
        <f>Etiquettes!$C$5</f>
        <v>France entière</v>
      </c>
      <c r="M2"/>
      <c r="R2" s="27"/>
      <c r="S2" s="27"/>
      <c r="U2" s="220" t="s">
        <v>610</v>
      </c>
    </row>
    <row r="3" spans="1:21">
      <c r="A3" s="10">
        <f>'Contraintes '!A13+1</f>
        <v>21</v>
      </c>
      <c r="B3" t="str">
        <f>Secteurs!$B$6</f>
        <v>Abattage / découpe de gros bovins</v>
      </c>
      <c r="C3" t="str">
        <f>Produits!$B$20</f>
        <v>Viande de gros bovins</v>
      </c>
      <c r="D3" s="29">
        <f>'Consommation - IDELE'!M59</f>
        <v>0.4823529411764706</v>
      </c>
      <c r="G3" s="27" t="str">
        <f>Etiquettes!$C$7</f>
        <v>kt</v>
      </c>
      <c r="H3" s="111" t="str">
        <f>Etiquettes!$C$4</f>
        <v>Viande bovine</v>
      </c>
      <c r="I3" s="27">
        <f>Etiquettes!$H$6</f>
        <v>2015</v>
      </c>
      <c r="J3" s="27" t="str">
        <f>Etiquettes!$C$5</f>
        <v>France entière</v>
      </c>
      <c r="M3"/>
      <c r="R3" s="27"/>
      <c r="S3" s="27"/>
      <c r="U3" s="205"/>
    </row>
    <row r="4" spans="1:21">
      <c r="A4" s="10">
        <f>'Contraintes '!A13+1</f>
        <v>21</v>
      </c>
      <c r="B4" t="str">
        <f>Produits!$B$20</f>
        <v>Viande de gros bovins</v>
      </c>
      <c r="C4" t="str">
        <f>Secteurs!$B$32</f>
        <v>Exportations</v>
      </c>
      <c r="D4" s="29">
        <f>-'Consommation - IDELE'!M59</f>
        <v>-0.4823529411764706</v>
      </c>
      <c r="G4" s="27" t="str">
        <f>Etiquettes!$C$7</f>
        <v>kt</v>
      </c>
      <c r="H4" s="111" t="str">
        <f>Etiquettes!$C$4</f>
        <v>Viande bovine</v>
      </c>
      <c r="I4" s="27">
        <f>Etiquettes!$H$6</f>
        <v>2015</v>
      </c>
      <c r="J4" s="27" t="str">
        <f>Etiquettes!$C$5</f>
        <v>France entière</v>
      </c>
      <c r="M4"/>
      <c r="R4" s="27"/>
      <c r="S4" s="27"/>
      <c r="U4" s="205"/>
    </row>
    <row r="5" spans="1:21" ht="14.4" customHeight="1">
      <c r="A5" s="10">
        <f>'Contraintes '!A13+1</f>
        <v>21</v>
      </c>
      <c r="B5" t="str">
        <f>Produits!$B$20</f>
        <v>Viande de gros bovins</v>
      </c>
      <c r="C5" t="str">
        <f>Secteurs!$B$18</f>
        <v>GMS</v>
      </c>
      <c r="D5">
        <v>-1</v>
      </c>
      <c r="G5" s="27" t="str">
        <f>Etiquettes!$C$7</f>
        <v>kt</v>
      </c>
      <c r="H5" s="111" t="str">
        <f>Etiquettes!$C$4</f>
        <v>Viande bovine</v>
      </c>
      <c r="I5" s="27">
        <f>Etiquettes!$H$6</f>
        <v>2015</v>
      </c>
      <c r="J5" s="27" t="str">
        <f>Etiquettes!$C$5</f>
        <v>France entière</v>
      </c>
      <c r="K5" s="38" t="s">
        <v>575</v>
      </c>
      <c r="L5" s="38" t="s">
        <v>609</v>
      </c>
      <c r="M5" t="s">
        <v>574</v>
      </c>
      <c r="N5" s="38" t="str" cm="1">
        <f t="array" aca="1" ref="N5" ca="1">[1]!NOM_FEUILLE('Consommation - IDELE'!$A$1)</f>
        <v>Consommation - IDELE</v>
      </c>
      <c r="O5" s="38" t="str">
        <f>Etiquettes!$J$11</f>
        <v>Répartition</v>
      </c>
      <c r="P5" t="str">
        <f>_xlfn.CONCAT(K5," = ",MROUND(D2*100,0.01)," % (",M5,")")</f>
        <v>Part de viande de gros bovins consommée en GMS = 48,24 % (Où va le bœuf ? - Idele)</v>
      </c>
      <c r="Q5" s="10" t="str">
        <f>Etiquettes!$J$15</f>
        <v>Probable</v>
      </c>
      <c r="R5" s="112" t="s">
        <v>664</v>
      </c>
      <c r="S5" s="111" t="str">
        <f>Etiquettes!$H$17</f>
        <v>Donnée collectée (valeur du flux ou coefficient)</v>
      </c>
      <c r="U5" s="205"/>
    </row>
    <row r="6" spans="1:21">
      <c r="A6" s="10">
        <f>A2+1</f>
        <v>22</v>
      </c>
      <c r="B6" t="str">
        <f>Secteurs!$B$31</f>
        <v>Importations</v>
      </c>
      <c r="C6" t="str">
        <f>Produits!$B$20</f>
        <v>Viande de gros bovins</v>
      </c>
      <c r="D6" s="29">
        <f>'Consommation - IDELE'!M60</f>
        <v>0.11764705882352942</v>
      </c>
      <c r="G6" s="27" t="str">
        <f>Etiquettes!$C$7</f>
        <v>kt</v>
      </c>
      <c r="H6" s="111" t="str">
        <f>Etiquettes!$C$4</f>
        <v>Viande bovine</v>
      </c>
      <c r="I6" s="27">
        <f>Etiquettes!$H$6</f>
        <v>2015</v>
      </c>
      <c r="J6" s="27" t="str">
        <f>Etiquettes!$C$5</f>
        <v>France entière</v>
      </c>
      <c r="M6"/>
      <c r="R6" s="27"/>
      <c r="S6" s="27"/>
      <c r="U6" s="205"/>
    </row>
    <row r="7" spans="1:21">
      <c r="A7" s="10">
        <f>A3+1</f>
        <v>22</v>
      </c>
      <c r="B7" t="str">
        <f>Secteurs!$B$6</f>
        <v>Abattage / découpe de gros bovins</v>
      </c>
      <c r="C7" t="str">
        <f>Produits!$B$20</f>
        <v>Viande de gros bovins</v>
      </c>
      <c r="D7" s="29">
        <f>'Consommation - IDELE'!M60</f>
        <v>0.11764705882352942</v>
      </c>
      <c r="G7" s="27" t="str">
        <f>Etiquettes!$C$7</f>
        <v>kt</v>
      </c>
      <c r="H7" s="111" t="str">
        <f>Etiquettes!$C$4</f>
        <v>Viande bovine</v>
      </c>
      <c r="I7" s="27">
        <f>Etiquettes!$H$6</f>
        <v>2015</v>
      </c>
      <c r="J7" s="27" t="str">
        <f>Etiquettes!$C$5</f>
        <v>France entière</v>
      </c>
      <c r="M7"/>
      <c r="R7" s="27"/>
      <c r="S7" s="27"/>
      <c r="U7" s="205"/>
    </row>
    <row r="8" spans="1:21">
      <c r="A8" s="10">
        <f t="shared" ref="A8:A20" si="0">A4+1</f>
        <v>22</v>
      </c>
      <c r="B8" t="str">
        <f>Produits!$B$20</f>
        <v>Viande de gros bovins</v>
      </c>
      <c r="C8" t="str">
        <f>Secteurs!$B$32</f>
        <v>Exportations</v>
      </c>
      <c r="D8" s="29">
        <f>-'Consommation - IDELE'!M60</f>
        <v>-0.11764705882352942</v>
      </c>
      <c r="G8" s="27" t="str">
        <f>Etiquettes!$C$7</f>
        <v>kt</v>
      </c>
      <c r="H8" s="111" t="str">
        <f>Etiquettes!$C$4</f>
        <v>Viande bovine</v>
      </c>
      <c r="I8" s="27">
        <f>Etiquettes!$H$6</f>
        <v>2015</v>
      </c>
      <c r="J8" s="27" t="str">
        <f>Etiquettes!$C$5</f>
        <v>France entière</v>
      </c>
      <c r="M8"/>
      <c r="U8" s="205"/>
    </row>
    <row r="9" spans="1:21">
      <c r="A9" s="10">
        <f t="shared" si="0"/>
        <v>22</v>
      </c>
      <c r="B9" t="str">
        <f>Produits!$B$20</f>
        <v>Viande de gros bovins</v>
      </c>
      <c r="C9" t="str">
        <f>Secteurs!$B$16</f>
        <v>Boucherie</v>
      </c>
      <c r="D9">
        <v>-1</v>
      </c>
      <c r="G9" s="27" t="str">
        <f>Etiquettes!$C$7</f>
        <v>kt</v>
      </c>
      <c r="H9" s="111" t="str">
        <f>Etiquettes!$C$4</f>
        <v>Viande bovine</v>
      </c>
      <c r="I9" s="27">
        <f>Etiquettes!$H$6</f>
        <v>2015</v>
      </c>
      <c r="J9" s="27" t="str">
        <f>Etiquettes!$C$5</f>
        <v>France entière</v>
      </c>
      <c r="K9" s="38" t="s">
        <v>576</v>
      </c>
      <c r="L9" s="38" t="s">
        <v>609</v>
      </c>
      <c r="M9" t="s">
        <v>574</v>
      </c>
      <c r="N9" s="38" t="str" cm="1">
        <f t="array" aca="1" ref="N9" ca="1">[1]!NOM_FEUILLE('Consommation - IDELE'!$A$1)</f>
        <v>Consommation - IDELE</v>
      </c>
      <c r="O9" s="38" t="str">
        <f>Etiquettes!$J$11</f>
        <v>Répartition</v>
      </c>
      <c r="P9" t="str">
        <f>_xlfn.CONCAT(K9," = ",MROUND(D6*100,0.01)," % (",M9,")")</f>
        <v>Part de viande de gros bovins consommée en boucherie = 11,76 % (Où va le bœuf ? - Idele)</v>
      </c>
      <c r="Q9" s="10" t="str">
        <f>Etiquettes!$J$15</f>
        <v>Probable</v>
      </c>
      <c r="R9" s="112" t="s">
        <v>664</v>
      </c>
      <c r="S9" s="111" t="str">
        <f>Etiquettes!$H$17</f>
        <v>Donnée collectée (valeur du flux ou coefficient)</v>
      </c>
      <c r="U9" s="205"/>
    </row>
    <row r="10" spans="1:21" ht="14.4" customHeight="1">
      <c r="A10" s="10">
        <f t="shared" si="0"/>
        <v>23</v>
      </c>
      <c r="B10" t="str">
        <f>Secteurs!$B$31</f>
        <v>Importations</v>
      </c>
      <c r="C10" t="str">
        <f>Produits!$B$20</f>
        <v>Viande de gros bovins</v>
      </c>
      <c r="D10" s="29">
        <f>'Consommation - IDELE'!M61</f>
        <v>0.23529411764705885</v>
      </c>
      <c r="G10" s="27" t="str">
        <f>Etiquettes!$C$7</f>
        <v>kt</v>
      </c>
      <c r="H10" s="111" t="str">
        <f>Etiquettes!$C$4</f>
        <v>Viande bovine</v>
      </c>
      <c r="I10" s="27">
        <f>Etiquettes!$H$6</f>
        <v>2015</v>
      </c>
      <c r="J10" s="27" t="str">
        <f>Etiquettes!$C$5</f>
        <v>France entière</v>
      </c>
      <c r="M10"/>
      <c r="U10" s="205"/>
    </row>
    <row r="11" spans="1:21">
      <c r="A11" s="10">
        <f t="shared" si="0"/>
        <v>23</v>
      </c>
      <c r="B11" t="str">
        <f>Secteurs!$B$6</f>
        <v>Abattage / découpe de gros bovins</v>
      </c>
      <c r="C11" t="str">
        <f>Produits!$B$20</f>
        <v>Viande de gros bovins</v>
      </c>
      <c r="D11" s="29">
        <f>'Consommation - IDELE'!M61</f>
        <v>0.23529411764705885</v>
      </c>
      <c r="G11" s="27" t="str">
        <f>Etiquettes!$C$7</f>
        <v>kt</v>
      </c>
      <c r="H11" s="111" t="str">
        <f>Etiquettes!$C$4</f>
        <v>Viande bovine</v>
      </c>
      <c r="I11" s="27">
        <f>Etiquettes!$H$6</f>
        <v>2015</v>
      </c>
      <c r="J11" s="27" t="str">
        <f>Etiquettes!$C$5</f>
        <v>France entière</v>
      </c>
      <c r="M11"/>
      <c r="U11" s="205"/>
    </row>
    <row r="12" spans="1:21">
      <c r="A12" s="10">
        <f t="shared" si="0"/>
        <v>23</v>
      </c>
      <c r="B12" t="str">
        <f>Produits!$B$20</f>
        <v>Viande de gros bovins</v>
      </c>
      <c r="C12" t="str">
        <f>Secteurs!$B$32</f>
        <v>Exportations</v>
      </c>
      <c r="D12" s="29">
        <f>-'Consommation - IDELE'!M61</f>
        <v>-0.23529411764705885</v>
      </c>
      <c r="G12" s="27" t="str">
        <f>Etiquettes!$C$7</f>
        <v>kt</v>
      </c>
      <c r="H12" s="111" t="str">
        <f>Etiquettes!$C$4</f>
        <v>Viande bovine</v>
      </c>
      <c r="I12" s="27">
        <f>Etiquettes!$H$6</f>
        <v>2015</v>
      </c>
      <c r="J12" s="27" t="str">
        <f>Etiquettes!$C$5</f>
        <v>France entière</v>
      </c>
      <c r="M12"/>
      <c r="U12" s="205"/>
    </row>
    <row r="13" spans="1:21">
      <c r="A13" s="10">
        <f t="shared" si="0"/>
        <v>23</v>
      </c>
      <c r="B13" t="str">
        <f>Produits!$B$20</f>
        <v>Viande de gros bovins</v>
      </c>
      <c r="C13" t="str">
        <f>Secteurs!$B$19</f>
        <v>RHD</v>
      </c>
      <c r="D13">
        <v>-1</v>
      </c>
      <c r="G13" s="27" t="str">
        <f>Etiquettes!$C$7</f>
        <v>kt</v>
      </c>
      <c r="H13" s="111" t="str">
        <f>Etiquettes!$C$4</f>
        <v>Viande bovine</v>
      </c>
      <c r="I13" s="27">
        <f>Etiquettes!$H$6</f>
        <v>2015</v>
      </c>
      <c r="J13" s="27" t="str">
        <f>Etiquettes!$C$5</f>
        <v>France entière</v>
      </c>
      <c r="K13" s="38" t="s">
        <v>577</v>
      </c>
      <c r="L13" s="38" t="s">
        <v>609</v>
      </c>
      <c r="M13" t="s">
        <v>574</v>
      </c>
      <c r="N13" s="38" t="str" cm="1">
        <f t="array" aca="1" ref="N13" ca="1">[1]!NOM_FEUILLE('Consommation - IDELE'!$A$1)</f>
        <v>Consommation - IDELE</v>
      </c>
      <c r="O13" s="38" t="str">
        <f>Etiquettes!$J$11</f>
        <v>Répartition</v>
      </c>
      <c r="P13" t="str">
        <f>_xlfn.CONCAT(K13," = ",MROUND(D10*100,0.01)," % (",M13,")")</f>
        <v>Part de viande de gros bovins consommée en RHD = 23,53 % (Où va le bœuf ? - Idele)</v>
      </c>
      <c r="Q13" s="10" t="str">
        <f>Etiquettes!$J$15</f>
        <v>Probable</v>
      </c>
      <c r="R13" s="112" t="s">
        <v>664</v>
      </c>
      <c r="S13" s="111" t="str">
        <f>Etiquettes!$H$17</f>
        <v>Donnée collectée (valeur du flux ou coefficient)</v>
      </c>
      <c r="U13" s="205"/>
    </row>
    <row r="14" spans="1:21">
      <c r="A14" s="10">
        <f t="shared" si="0"/>
        <v>24</v>
      </c>
      <c r="B14" t="str">
        <f>Secteurs!$B$31</f>
        <v>Importations</v>
      </c>
      <c r="C14" t="str">
        <f>Produits!$B$20</f>
        <v>Viande de gros bovins</v>
      </c>
      <c r="D14" s="29">
        <f>'Consommation - IDELE'!M62</f>
        <v>0.11764705882352942</v>
      </c>
      <c r="G14" s="27" t="str">
        <f>Etiquettes!$C$7</f>
        <v>kt</v>
      </c>
      <c r="H14" s="111" t="str">
        <f>Etiquettes!$C$4</f>
        <v>Viande bovine</v>
      </c>
      <c r="I14" s="27">
        <f>Etiquettes!$H$6</f>
        <v>2015</v>
      </c>
      <c r="J14" s="27" t="str">
        <f>Etiquettes!$C$5</f>
        <v>France entière</v>
      </c>
      <c r="M14"/>
      <c r="U14" s="205"/>
    </row>
    <row r="15" spans="1:21">
      <c r="A15" s="10">
        <f t="shared" si="0"/>
        <v>24</v>
      </c>
      <c r="B15" t="str">
        <f>Secteurs!$B$6</f>
        <v>Abattage / découpe de gros bovins</v>
      </c>
      <c r="C15" t="str">
        <f>Produits!$B$20</f>
        <v>Viande de gros bovins</v>
      </c>
      <c r="D15" s="29">
        <f>'Consommation - IDELE'!M62</f>
        <v>0.11764705882352942</v>
      </c>
      <c r="G15" s="27" t="str">
        <f>Etiquettes!$C$7</f>
        <v>kt</v>
      </c>
      <c r="H15" s="111" t="str">
        <f>Etiquettes!$C$4</f>
        <v>Viande bovine</v>
      </c>
      <c r="I15" s="27">
        <f>Etiquettes!$H$6</f>
        <v>2015</v>
      </c>
      <c r="J15" s="27" t="str">
        <f>Etiquettes!$C$5</f>
        <v>France entière</v>
      </c>
      <c r="M15"/>
      <c r="U15" s="205"/>
    </row>
    <row r="16" spans="1:21">
      <c r="A16" s="10">
        <f t="shared" si="0"/>
        <v>24</v>
      </c>
      <c r="B16" t="str">
        <f>Produits!$B$20</f>
        <v>Viande de gros bovins</v>
      </c>
      <c r="C16" t="str">
        <f>Secteurs!$B$32</f>
        <v>Exportations</v>
      </c>
      <c r="D16" s="29">
        <f>-'Consommation - IDELE'!M62</f>
        <v>-0.11764705882352942</v>
      </c>
      <c r="E16" s="29"/>
      <c r="G16" s="27" t="str">
        <f>Etiquettes!$C$7</f>
        <v>kt</v>
      </c>
      <c r="H16" s="111" t="str">
        <f>Etiquettes!$C$4</f>
        <v>Viande bovine</v>
      </c>
      <c r="I16" s="27">
        <f>Etiquettes!$H$6</f>
        <v>2015</v>
      </c>
      <c r="J16" s="27" t="str">
        <f>Etiquettes!$C$5</f>
        <v>France entière</v>
      </c>
      <c r="M16"/>
      <c r="U16" s="205"/>
    </row>
    <row r="17" spans="1:21">
      <c r="A17" s="10">
        <f>A13+1</f>
        <v>24</v>
      </c>
      <c r="B17" t="str">
        <f>Produits!$B$20</f>
        <v>Viande de gros bovins</v>
      </c>
      <c r="C17" t="str">
        <f>Secteurs!$B$20</f>
        <v>Autres IAA</v>
      </c>
      <c r="D17">
        <v>-1</v>
      </c>
      <c r="G17" s="27" t="str">
        <f>Etiquettes!$C$7</f>
        <v>kt</v>
      </c>
      <c r="H17" s="111" t="str">
        <f>Etiquettes!$C$4</f>
        <v>Viande bovine</v>
      </c>
      <c r="I17" s="27">
        <f>Etiquettes!$H$6</f>
        <v>2015</v>
      </c>
      <c r="J17" s="27" t="str">
        <f>Etiquettes!$C$5</f>
        <v>France entière</v>
      </c>
      <c r="K17" s="38" t="s">
        <v>578</v>
      </c>
      <c r="L17" s="38" t="s">
        <v>609</v>
      </c>
      <c r="M17" t="s">
        <v>574</v>
      </c>
      <c r="N17" s="38" t="str" cm="1">
        <f t="array" aca="1" ref="N17" ca="1">[1]!NOM_FEUILLE('Consommation - IDELE'!$A$1)</f>
        <v>Consommation - IDELE</v>
      </c>
      <c r="O17" s="38" t="str">
        <f>Etiquettes!$J$11</f>
        <v>Répartition</v>
      </c>
      <c r="P17" t="str">
        <f>_xlfn.CONCAT(K17," = ",MROUND(D14*100,0.01)," % (",M17,")")</f>
        <v>Part de viande de gros bovins transformée = 11,76 % (Où va le bœuf ? - Idele)</v>
      </c>
      <c r="Q17" s="10" t="str">
        <f>Etiquettes!$J$15</f>
        <v>Probable</v>
      </c>
      <c r="R17" s="112" t="s">
        <v>664</v>
      </c>
      <c r="S17" s="111" t="str">
        <f>Etiquettes!$H$17</f>
        <v>Donnée collectée (valeur du flux ou coefficient)</v>
      </c>
      <c r="U17" s="205"/>
    </row>
    <row r="18" spans="1:21">
      <c r="A18" s="10">
        <f t="shared" si="0"/>
        <v>25</v>
      </c>
      <c r="B18" t="str">
        <f>Secteurs!$B$31</f>
        <v>Importations</v>
      </c>
      <c r="C18" t="str">
        <f>Produits!$B$20</f>
        <v>Viande de gros bovins</v>
      </c>
      <c r="D18" s="29">
        <f>'Consommation - IDELE'!M63</f>
        <v>4.7058823529411764E-2</v>
      </c>
      <c r="G18" s="27" t="str">
        <f>Etiquettes!$C$7</f>
        <v>kt</v>
      </c>
      <c r="H18" s="111" t="str">
        <f>Etiquettes!$C$4</f>
        <v>Viande bovine</v>
      </c>
      <c r="I18" s="27">
        <f>Etiquettes!$H$6</f>
        <v>2015</v>
      </c>
      <c r="J18" s="27" t="str">
        <f>Etiquettes!$C$5</f>
        <v>France entière</v>
      </c>
      <c r="M18"/>
      <c r="U18" s="205"/>
    </row>
    <row r="19" spans="1:21">
      <c r="A19" s="10">
        <f t="shared" si="0"/>
        <v>25</v>
      </c>
      <c r="B19" t="str">
        <f>Secteurs!$B$6</f>
        <v>Abattage / découpe de gros bovins</v>
      </c>
      <c r="C19" t="str">
        <f>Produits!$B$20</f>
        <v>Viande de gros bovins</v>
      </c>
      <c r="D19" s="29">
        <f>'Consommation - IDELE'!M63</f>
        <v>4.7058823529411764E-2</v>
      </c>
      <c r="G19" s="27" t="str">
        <f>Etiquettes!$C$7</f>
        <v>kt</v>
      </c>
      <c r="H19" s="111" t="str">
        <f>Etiquettes!$C$4</f>
        <v>Viande bovine</v>
      </c>
      <c r="I19" s="27">
        <f>Etiquettes!$H$6</f>
        <v>2015</v>
      </c>
      <c r="J19" s="27" t="str">
        <f>Etiquettes!$C$5</f>
        <v>France entière</v>
      </c>
      <c r="M19"/>
      <c r="U19" s="205"/>
    </row>
    <row r="20" spans="1:21">
      <c r="A20" s="10">
        <f t="shared" si="0"/>
        <v>25</v>
      </c>
      <c r="B20" t="str">
        <f>Produits!$B$20</f>
        <v>Viande de gros bovins</v>
      </c>
      <c r="C20" t="str">
        <f>Secteurs!$B$32</f>
        <v>Exportations</v>
      </c>
      <c r="D20" s="29">
        <f>-'Consommation - IDELE'!M63</f>
        <v>-4.7058823529411764E-2</v>
      </c>
      <c r="G20" s="27" t="str">
        <f>Etiquettes!$C$7</f>
        <v>kt</v>
      </c>
      <c r="H20" s="111" t="str">
        <f>Etiquettes!$C$4</f>
        <v>Viande bovine</v>
      </c>
      <c r="I20" s="27">
        <f>Etiquettes!$H$6</f>
        <v>2015</v>
      </c>
      <c r="J20" s="27" t="str">
        <f>Etiquettes!$C$5</f>
        <v>France entière</v>
      </c>
      <c r="M20"/>
      <c r="U20" s="205"/>
    </row>
    <row r="21" spans="1:21" ht="15" thickBot="1">
      <c r="A21" s="10">
        <f>A17+1</f>
        <v>25</v>
      </c>
      <c r="B21" t="str">
        <f>Produits!$B$20</f>
        <v>Viande de gros bovins</v>
      </c>
      <c r="C21" t="str">
        <f>Secteurs!$B$13</f>
        <v>Vente directe et autoconsommation</v>
      </c>
      <c r="D21">
        <v>-1</v>
      </c>
      <c r="G21" s="27" t="str">
        <f>Etiquettes!$C$7</f>
        <v>kt</v>
      </c>
      <c r="H21" s="111" t="str">
        <f>Etiquettes!$C$4</f>
        <v>Viande bovine</v>
      </c>
      <c r="I21" s="27">
        <f>Etiquettes!$H$6</f>
        <v>2015</v>
      </c>
      <c r="J21" s="27" t="str">
        <f>Etiquettes!$C$5</f>
        <v>France entière</v>
      </c>
      <c r="K21" s="38" t="s">
        <v>579</v>
      </c>
      <c r="L21" s="38" t="s">
        <v>609</v>
      </c>
      <c r="M21" t="s">
        <v>574</v>
      </c>
      <c r="N21" s="38" t="str" cm="1">
        <f t="array" aca="1" ref="N21" ca="1">[1]!NOM_FEUILLE('Consommation - IDELE'!$A$1)</f>
        <v>Consommation - IDELE</v>
      </c>
      <c r="O21" s="38" t="str">
        <f>Etiquettes!$J$11</f>
        <v>Répartition</v>
      </c>
      <c r="P21" t="str">
        <f>_xlfn.CONCAT(K21," = ",MROUND(D18*100,0.01)," % (",M21,")")</f>
        <v>Part de viande de gros bovins vendue directement ou autoconsommée = 4,71 % (Où va le bœuf ? - Idele)</v>
      </c>
      <c r="Q21" s="10" t="str">
        <f>Etiquettes!$J$15</f>
        <v>Probable</v>
      </c>
      <c r="R21" s="112" t="s">
        <v>664</v>
      </c>
      <c r="S21" s="111" t="str">
        <f>Etiquettes!$H$17</f>
        <v>Donnée collectée (valeur du flux ou coefficient)</v>
      </c>
      <c r="U21" s="223"/>
    </row>
    <row r="22" spans="1:21">
      <c r="A22" s="10">
        <f t="shared" ref="A22:A41" si="1">A18+1</f>
        <v>26</v>
      </c>
      <c r="B22" t="str">
        <f>Secteurs!$B$31</f>
        <v>Importations</v>
      </c>
      <c r="C22" t="str">
        <f>Produits!$B$20</f>
        <v>Viande de gros bovins</v>
      </c>
      <c r="D22" s="29">
        <f>'Consommation - IDELE'!N59</f>
        <v>0.45882352941176474</v>
      </c>
      <c r="G22" s="27" t="str">
        <f>Etiquettes!$C$7</f>
        <v>kt</v>
      </c>
      <c r="H22" s="111" t="str">
        <f>Etiquettes!$C$4</f>
        <v>Viande bovine</v>
      </c>
      <c r="I22" s="27">
        <f>Etiquettes!$I$6</f>
        <v>2019</v>
      </c>
      <c r="J22" s="27" t="str">
        <f>Etiquettes!$C$5</f>
        <v>France entière</v>
      </c>
      <c r="M22"/>
      <c r="U22" s="220" t="s">
        <v>611</v>
      </c>
    </row>
    <row r="23" spans="1:21">
      <c r="A23" s="10">
        <f t="shared" si="1"/>
        <v>26</v>
      </c>
      <c r="B23" t="str">
        <f>Secteurs!$B$6</f>
        <v>Abattage / découpe de gros bovins</v>
      </c>
      <c r="C23" t="str">
        <f>Produits!$B$20</f>
        <v>Viande de gros bovins</v>
      </c>
      <c r="D23" s="29">
        <f>'Consommation - IDELE'!N59</f>
        <v>0.45882352941176474</v>
      </c>
      <c r="G23" s="27" t="str">
        <f>Etiquettes!$C$7</f>
        <v>kt</v>
      </c>
      <c r="H23" s="111" t="str">
        <f>Etiquettes!$C$4</f>
        <v>Viande bovine</v>
      </c>
      <c r="I23" s="27">
        <f>Etiquettes!$I$6</f>
        <v>2019</v>
      </c>
      <c r="J23" s="27" t="str">
        <f>Etiquettes!$C$5</f>
        <v>France entière</v>
      </c>
      <c r="M23"/>
      <c r="U23" s="205"/>
    </row>
    <row r="24" spans="1:21">
      <c r="A24" s="10">
        <f t="shared" si="1"/>
        <v>26</v>
      </c>
      <c r="B24" t="str">
        <f>Produits!$B$20</f>
        <v>Viande de gros bovins</v>
      </c>
      <c r="C24" t="str">
        <f>Secteurs!$B$32</f>
        <v>Exportations</v>
      </c>
      <c r="D24" s="29">
        <f>-'Consommation - IDELE'!N59</f>
        <v>-0.45882352941176474</v>
      </c>
      <c r="G24" s="27" t="str">
        <f>Etiquettes!$C$7</f>
        <v>kt</v>
      </c>
      <c r="H24" s="111" t="str">
        <f>Etiquettes!$C$4</f>
        <v>Viande bovine</v>
      </c>
      <c r="I24" s="27">
        <f>Etiquettes!$I$6</f>
        <v>2019</v>
      </c>
      <c r="J24" s="27" t="str">
        <f>Etiquettes!$C$5</f>
        <v>France entière</v>
      </c>
      <c r="M24"/>
      <c r="U24" s="205"/>
    </row>
    <row r="25" spans="1:21">
      <c r="A25" s="10">
        <f t="shared" si="1"/>
        <v>26</v>
      </c>
      <c r="B25" t="str">
        <f>Produits!$B$20</f>
        <v>Viande de gros bovins</v>
      </c>
      <c r="C25" t="str">
        <f>Secteurs!$B$18</f>
        <v>GMS</v>
      </c>
      <c r="D25">
        <v>-1</v>
      </c>
      <c r="G25" s="27" t="str">
        <f>Etiquettes!$C$7</f>
        <v>kt</v>
      </c>
      <c r="H25" s="111" t="str">
        <f>Etiquettes!$C$4</f>
        <v>Viande bovine</v>
      </c>
      <c r="I25" s="27">
        <f>Etiquettes!$I$6</f>
        <v>2019</v>
      </c>
      <c r="J25" s="27" t="str">
        <f>Etiquettes!$C$5</f>
        <v>France entière</v>
      </c>
      <c r="K25" s="38" t="s">
        <v>575</v>
      </c>
      <c r="L25" s="38" t="s">
        <v>580</v>
      </c>
      <c r="M25" t="s">
        <v>574</v>
      </c>
      <c r="N25" s="38" t="str" cm="1">
        <f t="array" aca="1" ref="N25" ca="1">[1]!NOM_FEUILLE('Consommation - IDELE'!$A$1)</f>
        <v>Consommation - IDELE</v>
      </c>
      <c r="O25" s="38" t="str">
        <f>Etiquettes!$J$11</f>
        <v>Répartition</v>
      </c>
      <c r="P25" t="str">
        <f>_xlfn.CONCAT(K25," = ",MROUND(D22*100,0.01)," % (",M25,")")</f>
        <v>Part de viande de gros bovins consommée en GMS = 45,88 % (Où va le bœuf ? - Idele)</v>
      </c>
      <c r="Q25" s="10" t="str">
        <f>Etiquettes!$J$15</f>
        <v>Probable</v>
      </c>
      <c r="R25" s="112" t="s">
        <v>664</v>
      </c>
      <c r="S25" s="111" t="str">
        <f>Etiquettes!$H$17</f>
        <v>Donnée collectée (valeur du flux ou coefficient)</v>
      </c>
      <c r="U25" s="205"/>
    </row>
    <row r="26" spans="1:21">
      <c r="A26" s="10">
        <f t="shared" si="1"/>
        <v>27</v>
      </c>
      <c r="B26" t="str">
        <f>Secteurs!$B$31</f>
        <v>Importations</v>
      </c>
      <c r="C26" t="str">
        <f>Produits!$B$20</f>
        <v>Viande de gros bovins</v>
      </c>
      <c r="D26" s="29">
        <f>'Consommation - IDELE'!N60</f>
        <v>0.10588235294117647</v>
      </c>
      <c r="G26" s="27" t="str">
        <f>Etiquettes!$C$7</f>
        <v>kt</v>
      </c>
      <c r="H26" s="111" t="str">
        <f>Etiquettes!$C$4</f>
        <v>Viande bovine</v>
      </c>
      <c r="I26" s="27">
        <f>Etiquettes!$I$6</f>
        <v>2019</v>
      </c>
      <c r="J26" s="27" t="str">
        <f>Etiquettes!$C$5</f>
        <v>France entière</v>
      </c>
      <c r="M26"/>
      <c r="U26" s="205"/>
    </row>
    <row r="27" spans="1:21">
      <c r="A27" s="10">
        <f t="shared" si="1"/>
        <v>27</v>
      </c>
      <c r="B27" t="str">
        <f>Secteurs!$B$6</f>
        <v>Abattage / découpe de gros bovins</v>
      </c>
      <c r="C27" t="str">
        <f>Produits!$B$20</f>
        <v>Viande de gros bovins</v>
      </c>
      <c r="D27" s="29">
        <f>'Consommation - IDELE'!N60</f>
        <v>0.10588235294117647</v>
      </c>
      <c r="G27" s="27" t="str">
        <f>Etiquettes!$C$7</f>
        <v>kt</v>
      </c>
      <c r="H27" s="111" t="str">
        <f>Etiquettes!$C$4</f>
        <v>Viande bovine</v>
      </c>
      <c r="I27" s="27">
        <f>Etiquettes!$I$6</f>
        <v>2019</v>
      </c>
      <c r="J27" s="27" t="str">
        <f>Etiquettes!$C$5</f>
        <v>France entière</v>
      </c>
      <c r="M27"/>
      <c r="U27" s="205"/>
    </row>
    <row r="28" spans="1:21">
      <c r="A28" s="10">
        <f t="shared" si="1"/>
        <v>27</v>
      </c>
      <c r="B28" t="str">
        <f>Produits!$B$20</f>
        <v>Viande de gros bovins</v>
      </c>
      <c r="C28" t="str">
        <f>Secteurs!$B$32</f>
        <v>Exportations</v>
      </c>
      <c r="D28" s="29">
        <f>-'Consommation - IDELE'!N60</f>
        <v>-0.10588235294117647</v>
      </c>
      <c r="G28" s="27" t="str">
        <f>Etiquettes!$C$7</f>
        <v>kt</v>
      </c>
      <c r="H28" s="111" t="str">
        <f>Etiquettes!$C$4</f>
        <v>Viande bovine</v>
      </c>
      <c r="I28" s="27">
        <f>Etiquettes!$I$6</f>
        <v>2019</v>
      </c>
      <c r="J28" s="27" t="str">
        <f>Etiquettes!$C$5</f>
        <v>France entière</v>
      </c>
      <c r="M28"/>
      <c r="U28" s="205"/>
    </row>
    <row r="29" spans="1:21">
      <c r="A29" s="10">
        <f t="shared" si="1"/>
        <v>27</v>
      </c>
      <c r="B29" t="str">
        <f>Produits!$B$20</f>
        <v>Viande de gros bovins</v>
      </c>
      <c r="C29" t="str">
        <f>Secteurs!$B$16</f>
        <v>Boucherie</v>
      </c>
      <c r="D29">
        <v>-1</v>
      </c>
      <c r="G29" s="27" t="str">
        <f>Etiquettes!$C$7</f>
        <v>kt</v>
      </c>
      <c r="H29" s="111" t="str">
        <f>Etiquettes!$C$4</f>
        <v>Viande bovine</v>
      </c>
      <c r="I29" s="27">
        <f>Etiquettes!$I$6</f>
        <v>2019</v>
      </c>
      <c r="J29" s="27" t="str">
        <f>Etiquettes!$C$5</f>
        <v>France entière</v>
      </c>
      <c r="K29" s="38" t="s">
        <v>576</v>
      </c>
      <c r="L29" s="38" t="s">
        <v>580</v>
      </c>
      <c r="M29" t="s">
        <v>574</v>
      </c>
      <c r="N29" s="38" t="str" cm="1">
        <f t="array" aca="1" ref="N29" ca="1">[1]!NOM_FEUILLE('Consommation - IDELE'!$A$1)</f>
        <v>Consommation - IDELE</v>
      </c>
      <c r="O29" s="38" t="str">
        <f>Etiquettes!$J$11</f>
        <v>Répartition</v>
      </c>
      <c r="P29" t="str">
        <f>_xlfn.CONCAT(K29," = ",MROUND(D26*100,0.01)," % (",M29,")")</f>
        <v>Part de viande de gros bovins consommée en boucherie = 10,59 % (Où va le bœuf ? - Idele)</v>
      </c>
      <c r="Q29" s="10" t="str">
        <f>Etiquettes!$J$15</f>
        <v>Probable</v>
      </c>
      <c r="R29" s="112" t="s">
        <v>664</v>
      </c>
      <c r="S29" s="111" t="str">
        <f>Etiquettes!$H$17</f>
        <v>Donnée collectée (valeur du flux ou coefficient)</v>
      </c>
      <c r="U29" s="205"/>
    </row>
    <row r="30" spans="1:21">
      <c r="A30" s="10">
        <f t="shared" si="1"/>
        <v>28</v>
      </c>
      <c r="B30" t="str">
        <f>Secteurs!$B$31</f>
        <v>Importations</v>
      </c>
      <c r="C30" t="str">
        <f>Produits!$B$20</f>
        <v>Viande de gros bovins</v>
      </c>
      <c r="D30" s="29">
        <f>'Consommation - IDELE'!N61</f>
        <v>0.27058823529411768</v>
      </c>
      <c r="G30" s="27" t="str">
        <f>Etiquettes!$C$7</f>
        <v>kt</v>
      </c>
      <c r="H30" s="111" t="str">
        <f>Etiquettes!$C$4</f>
        <v>Viande bovine</v>
      </c>
      <c r="I30" s="27">
        <f>Etiquettes!$I$6</f>
        <v>2019</v>
      </c>
      <c r="J30" s="27" t="str">
        <f>Etiquettes!$C$5</f>
        <v>France entière</v>
      </c>
      <c r="M30"/>
      <c r="U30" s="205"/>
    </row>
    <row r="31" spans="1:21">
      <c r="A31" s="10">
        <f t="shared" si="1"/>
        <v>28</v>
      </c>
      <c r="B31" t="str">
        <f>Secteurs!$B$6</f>
        <v>Abattage / découpe de gros bovins</v>
      </c>
      <c r="C31" t="str">
        <f>Produits!$B$20</f>
        <v>Viande de gros bovins</v>
      </c>
      <c r="D31" s="29">
        <f>'Consommation - IDELE'!N61</f>
        <v>0.27058823529411768</v>
      </c>
      <c r="G31" s="27" t="str">
        <f>Etiquettes!$C$7</f>
        <v>kt</v>
      </c>
      <c r="H31" s="111" t="str">
        <f>Etiquettes!$C$4</f>
        <v>Viande bovine</v>
      </c>
      <c r="I31" s="27">
        <f>Etiquettes!$I$6</f>
        <v>2019</v>
      </c>
      <c r="J31" s="27" t="str">
        <f>Etiquettes!$C$5</f>
        <v>France entière</v>
      </c>
      <c r="M31"/>
      <c r="U31" s="205"/>
    </row>
    <row r="32" spans="1:21">
      <c r="A32" s="10">
        <f t="shared" si="1"/>
        <v>28</v>
      </c>
      <c r="B32" t="str">
        <f>Produits!$B$20</f>
        <v>Viande de gros bovins</v>
      </c>
      <c r="C32" t="str">
        <f>Secteurs!$B$32</f>
        <v>Exportations</v>
      </c>
      <c r="D32" s="29">
        <f>-'Consommation - IDELE'!N61</f>
        <v>-0.27058823529411768</v>
      </c>
      <c r="G32" s="27" t="str">
        <f>Etiquettes!$C$7</f>
        <v>kt</v>
      </c>
      <c r="H32" s="111" t="str">
        <f>Etiquettes!$C$4</f>
        <v>Viande bovine</v>
      </c>
      <c r="I32" s="27">
        <f>Etiquettes!$I$6</f>
        <v>2019</v>
      </c>
      <c r="J32" s="27" t="str">
        <f>Etiquettes!$C$5</f>
        <v>France entière</v>
      </c>
      <c r="M32"/>
      <c r="U32" s="205"/>
    </row>
    <row r="33" spans="1:21">
      <c r="A33" s="10">
        <f t="shared" si="1"/>
        <v>28</v>
      </c>
      <c r="B33" t="str">
        <f>Produits!$B$20</f>
        <v>Viande de gros bovins</v>
      </c>
      <c r="C33" t="str">
        <f>Secteurs!$B$19</f>
        <v>RHD</v>
      </c>
      <c r="D33">
        <v>-1</v>
      </c>
      <c r="G33" s="27" t="str">
        <f>Etiquettes!$C$7</f>
        <v>kt</v>
      </c>
      <c r="H33" s="111" t="str">
        <f>Etiquettes!$C$4</f>
        <v>Viande bovine</v>
      </c>
      <c r="I33" s="27">
        <f>Etiquettes!$I$6</f>
        <v>2019</v>
      </c>
      <c r="J33" s="27" t="str">
        <f>Etiquettes!$C$5</f>
        <v>France entière</v>
      </c>
      <c r="K33" s="38" t="s">
        <v>577</v>
      </c>
      <c r="L33" s="38" t="s">
        <v>580</v>
      </c>
      <c r="M33" t="s">
        <v>574</v>
      </c>
      <c r="N33" s="38" t="str" cm="1">
        <f t="array" aca="1" ref="N33" ca="1">[1]!NOM_FEUILLE('Consommation - IDELE'!$A$1)</f>
        <v>Consommation - IDELE</v>
      </c>
      <c r="O33" s="38" t="str">
        <f>Etiquettes!$J$11</f>
        <v>Répartition</v>
      </c>
      <c r="P33" t="str">
        <f>_xlfn.CONCAT(K33," = ",MROUND(D30*100,0.01)," % (",M33,")")</f>
        <v>Part de viande de gros bovins consommée en RHD = 27,06 % (Où va le bœuf ? - Idele)</v>
      </c>
      <c r="Q33" s="10" t="str">
        <f>Etiquettes!$J$15</f>
        <v>Probable</v>
      </c>
      <c r="R33" s="112" t="s">
        <v>664</v>
      </c>
      <c r="S33" s="111" t="str">
        <f>Etiquettes!$H$17</f>
        <v>Donnée collectée (valeur du flux ou coefficient)</v>
      </c>
      <c r="U33" s="205"/>
    </row>
    <row r="34" spans="1:21">
      <c r="A34" s="10">
        <f t="shared" si="1"/>
        <v>29</v>
      </c>
      <c r="B34" t="str">
        <f>Secteurs!$B$31</f>
        <v>Importations</v>
      </c>
      <c r="C34" t="str">
        <f>Produits!$B$20</f>
        <v>Viande de gros bovins</v>
      </c>
      <c r="D34" s="29">
        <f>'Consommation - IDELE'!N62</f>
        <v>0.11764705882352942</v>
      </c>
      <c r="G34" s="27" t="str">
        <f>Etiquettes!$C$7</f>
        <v>kt</v>
      </c>
      <c r="H34" s="111" t="str">
        <f>Etiquettes!$C$4</f>
        <v>Viande bovine</v>
      </c>
      <c r="I34" s="27">
        <f>Etiquettes!$I$6</f>
        <v>2019</v>
      </c>
      <c r="J34" s="27" t="str">
        <f>Etiquettes!$C$5</f>
        <v>France entière</v>
      </c>
      <c r="M34"/>
      <c r="U34" s="205"/>
    </row>
    <row r="35" spans="1:21">
      <c r="A35" s="10">
        <f t="shared" si="1"/>
        <v>29</v>
      </c>
      <c r="B35" t="str">
        <f>Secteurs!$B$6</f>
        <v>Abattage / découpe de gros bovins</v>
      </c>
      <c r="C35" t="str">
        <f>Produits!$B$20</f>
        <v>Viande de gros bovins</v>
      </c>
      <c r="D35" s="29">
        <f>'Consommation - IDELE'!N62</f>
        <v>0.11764705882352942</v>
      </c>
      <c r="G35" s="27" t="str">
        <f>Etiquettes!$C$7</f>
        <v>kt</v>
      </c>
      <c r="H35" s="111" t="str">
        <f>Etiquettes!$C$4</f>
        <v>Viande bovine</v>
      </c>
      <c r="I35" s="27">
        <f>Etiquettes!$I$6</f>
        <v>2019</v>
      </c>
      <c r="J35" s="27" t="str">
        <f>Etiquettes!$C$5</f>
        <v>France entière</v>
      </c>
      <c r="M35"/>
      <c r="U35" s="205"/>
    </row>
    <row r="36" spans="1:21">
      <c r="A36" s="10">
        <f t="shared" si="1"/>
        <v>29</v>
      </c>
      <c r="B36" t="str">
        <f>Produits!$B$20</f>
        <v>Viande de gros bovins</v>
      </c>
      <c r="C36" t="str">
        <f>Secteurs!$B$32</f>
        <v>Exportations</v>
      </c>
      <c r="D36" s="29">
        <f>-'Consommation - IDELE'!N62</f>
        <v>-0.11764705882352942</v>
      </c>
      <c r="G36" s="27" t="str">
        <f>Etiquettes!$C$7</f>
        <v>kt</v>
      </c>
      <c r="H36" s="111" t="str">
        <f>Etiquettes!$C$4</f>
        <v>Viande bovine</v>
      </c>
      <c r="I36" s="27">
        <f>Etiquettes!$I$6</f>
        <v>2019</v>
      </c>
      <c r="J36" s="27" t="str">
        <f>Etiquettes!$C$5</f>
        <v>France entière</v>
      </c>
      <c r="M36"/>
      <c r="U36" s="205"/>
    </row>
    <row r="37" spans="1:21">
      <c r="A37" s="10">
        <f t="shared" si="1"/>
        <v>29</v>
      </c>
      <c r="B37" t="str">
        <f>Produits!$B$20</f>
        <v>Viande de gros bovins</v>
      </c>
      <c r="C37" t="str">
        <f>Secteurs!$B$20</f>
        <v>Autres IAA</v>
      </c>
      <c r="D37">
        <v>-1</v>
      </c>
      <c r="G37" s="27" t="str">
        <f>Etiquettes!$C$7</f>
        <v>kt</v>
      </c>
      <c r="H37" s="111" t="str">
        <f>Etiquettes!$C$4</f>
        <v>Viande bovine</v>
      </c>
      <c r="I37" s="27">
        <f>Etiquettes!$I$6</f>
        <v>2019</v>
      </c>
      <c r="J37" s="27" t="str">
        <f>Etiquettes!$C$5</f>
        <v>France entière</v>
      </c>
      <c r="K37" s="38" t="s">
        <v>582</v>
      </c>
      <c r="L37" s="38" t="s">
        <v>580</v>
      </c>
      <c r="M37" t="s">
        <v>574</v>
      </c>
      <c r="N37" s="38" t="str" cm="1">
        <f t="array" aca="1" ref="N37" ca="1">[1]!NOM_FEUILLE('Consommation - IDELE'!$A$1)</f>
        <v>Consommation - IDELE</v>
      </c>
      <c r="O37" s="38" t="str">
        <f>Etiquettes!$J$11</f>
        <v>Répartition</v>
      </c>
      <c r="P37" t="str">
        <f>_xlfn.CONCAT(K37," = ",MROUND(D34*100,0.01)," % (",M37,")")</f>
        <v>Part de viande de gros bovins pour la fabrication de plats préparés = 11,76 % (Où va le bœuf ? - Idele)</v>
      </c>
      <c r="Q37" s="10" t="str">
        <f>Etiquettes!$J$15</f>
        <v>Probable</v>
      </c>
      <c r="R37" s="112" t="s">
        <v>664</v>
      </c>
      <c r="S37" s="111" t="str">
        <f>Etiquettes!$H$17</f>
        <v>Donnée collectée (valeur du flux ou coefficient)</v>
      </c>
      <c r="U37" s="205"/>
    </row>
    <row r="38" spans="1:21">
      <c r="A38" s="10">
        <f t="shared" si="1"/>
        <v>30</v>
      </c>
      <c r="B38" t="str">
        <f>Secteurs!$B$31</f>
        <v>Importations</v>
      </c>
      <c r="C38" t="str">
        <f>Produits!$B$20</f>
        <v>Viande de gros bovins</v>
      </c>
      <c r="D38" s="29">
        <f>'Consommation - IDELE'!N63</f>
        <v>4.7058823529411764E-2</v>
      </c>
      <c r="G38" s="27" t="str">
        <f>Etiquettes!$C$7</f>
        <v>kt</v>
      </c>
      <c r="H38" s="111" t="str">
        <f>Etiquettes!$C$4</f>
        <v>Viande bovine</v>
      </c>
      <c r="I38" s="27">
        <f>Etiquettes!$I$6</f>
        <v>2019</v>
      </c>
      <c r="J38" s="27" t="str">
        <f>Etiquettes!$C$5</f>
        <v>France entière</v>
      </c>
      <c r="M38"/>
      <c r="U38" s="205"/>
    </row>
    <row r="39" spans="1:21">
      <c r="A39" s="10">
        <f t="shared" si="1"/>
        <v>30</v>
      </c>
      <c r="B39" t="str">
        <f>Secteurs!$B$6</f>
        <v>Abattage / découpe de gros bovins</v>
      </c>
      <c r="C39" t="str">
        <f>Produits!$B$20</f>
        <v>Viande de gros bovins</v>
      </c>
      <c r="D39" s="29">
        <f>'Consommation - IDELE'!N63</f>
        <v>4.7058823529411764E-2</v>
      </c>
      <c r="G39" s="27" t="str">
        <f>Etiquettes!$C$7</f>
        <v>kt</v>
      </c>
      <c r="H39" s="111" t="str">
        <f>Etiquettes!$C$4</f>
        <v>Viande bovine</v>
      </c>
      <c r="I39" s="27">
        <f>Etiquettes!$I$6</f>
        <v>2019</v>
      </c>
      <c r="J39" s="27" t="str">
        <f>Etiquettes!$C$5</f>
        <v>France entière</v>
      </c>
      <c r="M39"/>
      <c r="U39" s="205"/>
    </row>
    <row r="40" spans="1:21">
      <c r="A40" s="10">
        <f t="shared" si="1"/>
        <v>30</v>
      </c>
      <c r="B40" t="str">
        <f>Produits!$B$20</f>
        <v>Viande de gros bovins</v>
      </c>
      <c r="C40" t="str">
        <f>Secteurs!$B$32</f>
        <v>Exportations</v>
      </c>
      <c r="D40" s="29">
        <f>-'Consommation - IDELE'!N63</f>
        <v>-4.7058823529411764E-2</v>
      </c>
      <c r="G40" s="27" t="str">
        <f>Etiquettes!$C$7</f>
        <v>kt</v>
      </c>
      <c r="H40" s="111" t="str">
        <f>Etiquettes!$C$4</f>
        <v>Viande bovine</v>
      </c>
      <c r="I40" s="27">
        <f>Etiquettes!$I$6</f>
        <v>2019</v>
      </c>
      <c r="J40" s="27" t="str">
        <f>Etiquettes!$C$5</f>
        <v>France entière</v>
      </c>
      <c r="M40"/>
      <c r="U40" s="205"/>
    </row>
    <row r="41" spans="1:21" ht="15" thickBot="1">
      <c r="A41" s="10">
        <f t="shared" si="1"/>
        <v>30</v>
      </c>
      <c r="B41" t="str">
        <f>Produits!$B$20</f>
        <v>Viande de gros bovins</v>
      </c>
      <c r="C41" t="str">
        <f>Secteurs!$B$13</f>
        <v>Vente directe et autoconsommation</v>
      </c>
      <c r="D41">
        <v>-1</v>
      </c>
      <c r="G41" s="27" t="str">
        <f>Etiquettes!$C$7</f>
        <v>kt</v>
      </c>
      <c r="H41" s="111" t="str">
        <f>Etiquettes!$C$4</f>
        <v>Viande bovine</v>
      </c>
      <c r="I41" s="27">
        <f>Etiquettes!$I$6</f>
        <v>2019</v>
      </c>
      <c r="J41" s="27" t="str">
        <f>Etiquettes!$C$5</f>
        <v>France entière</v>
      </c>
      <c r="K41" s="38" t="s">
        <v>579</v>
      </c>
      <c r="L41" s="38" t="s">
        <v>580</v>
      </c>
      <c r="M41" t="s">
        <v>574</v>
      </c>
      <c r="N41" s="38" t="str" cm="1">
        <f t="array" aca="1" ref="N41" ca="1">[1]!NOM_FEUILLE('Consommation - IDELE'!$A$1)</f>
        <v>Consommation - IDELE</v>
      </c>
      <c r="O41" s="38" t="str">
        <f>Etiquettes!$J$11</f>
        <v>Répartition</v>
      </c>
      <c r="P41" t="str">
        <f>_xlfn.CONCAT(K41," = ",MROUND(D38*100,0.01)," % (",M41,")")</f>
        <v>Part de viande de gros bovins vendue directement ou autoconsommée = 4,71 % (Où va le bœuf ? - Idele)</v>
      </c>
      <c r="Q41" s="10" t="str">
        <f>Etiquettes!$J$15</f>
        <v>Probable</v>
      </c>
      <c r="R41" s="112" t="s">
        <v>664</v>
      </c>
      <c r="S41" s="111" t="str">
        <f>Etiquettes!$H$17</f>
        <v>Donnée collectée (valeur du flux ou coefficient)</v>
      </c>
      <c r="U41" s="205"/>
    </row>
    <row r="42" spans="1:21">
      <c r="A42" s="10">
        <f>A40+1</f>
        <v>31</v>
      </c>
      <c r="B42" t="str">
        <f>Produits!$B$20</f>
        <v>Viande de gros bovins</v>
      </c>
      <c r="C42" t="str">
        <f>Secteurs!$B$10</f>
        <v>Débouchés</v>
      </c>
      <c r="D42" s="29">
        <f>'Consommation - IDELE'!H115</f>
        <v>0.44</v>
      </c>
      <c r="G42" s="27" t="str">
        <f>Etiquettes!$C$7</f>
        <v>kt</v>
      </c>
      <c r="H42" s="111" t="str">
        <f>Etiquettes!$C$4</f>
        <v>Viande bovine</v>
      </c>
      <c r="I42" s="27">
        <f>Etiquettes!$J$6</f>
        <v>2023</v>
      </c>
      <c r="J42" s="27" t="str">
        <f>Etiquettes!$C$5</f>
        <v>France entière</v>
      </c>
      <c r="M42"/>
      <c r="U42" s="220" t="s">
        <v>612</v>
      </c>
    </row>
    <row r="43" spans="1:21">
      <c r="A43" s="10">
        <f>A41+1</f>
        <v>31</v>
      </c>
      <c r="B43" t="str">
        <f>Produits!$B$20</f>
        <v>Viande de gros bovins</v>
      </c>
      <c r="C43" t="str">
        <f>Secteurs!$B$18</f>
        <v>GMS</v>
      </c>
      <c r="D43">
        <v>-1</v>
      </c>
      <c r="G43" s="27" t="str">
        <f>Etiquettes!$C$7</f>
        <v>kt</v>
      </c>
      <c r="H43" s="111" t="str">
        <f>Etiquettes!$C$4</f>
        <v>Viande bovine</v>
      </c>
      <c r="I43" s="27">
        <f>Etiquettes!$J$6</f>
        <v>2023</v>
      </c>
      <c r="J43" s="27" t="str">
        <f>Etiquettes!$C$5</f>
        <v>France entière</v>
      </c>
      <c r="K43" s="38" t="s">
        <v>575</v>
      </c>
      <c r="L43" s="38" t="s">
        <v>581</v>
      </c>
      <c r="M43" t="s">
        <v>574</v>
      </c>
      <c r="N43" s="38" t="str" cm="1">
        <f t="array" aca="1" ref="N43" ca="1">[1]!NOM_FEUILLE('Consommation - IDELE'!$A$1)</f>
        <v>Consommation - IDELE</v>
      </c>
      <c r="O43" s="38" t="str">
        <f>Etiquettes!$J$11</f>
        <v>Répartition</v>
      </c>
      <c r="P43" t="str">
        <f t="shared" ref="P43" si="2">_xlfn.CONCAT(K43," = ",MROUND(D42*100,0.01)," % (",M43,")")</f>
        <v>Part de viande de gros bovins consommée en GMS = 44 % (Où va le bœuf ? - Idele)</v>
      </c>
      <c r="Q43" s="10" t="str">
        <f>Etiquettes!$J$15</f>
        <v>Probable</v>
      </c>
      <c r="R43" s="112" t="s">
        <v>664</v>
      </c>
      <c r="S43" s="111" t="str">
        <f>Etiquettes!$H$17</f>
        <v>Donnée collectée (valeur du flux ou coefficient)</v>
      </c>
      <c r="U43" s="205"/>
    </row>
    <row r="44" spans="1:21">
      <c r="A44" s="10">
        <f t="shared" ref="A44:A59" si="3">A42+1</f>
        <v>32</v>
      </c>
      <c r="B44" t="str">
        <f>Produits!$B$20</f>
        <v>Viande de gros bovins</v>
      </c>
      <c r="C44" t="str">
        <f>Secteurs!$B$10</f>
        <v>Débouchés</v>
      </c>
      <c r="D44" s="29">
        <f>'Consommation - IDELE'!H116</f>
        <v>0.122</v>
      </c>
      <c r="G44" s="27" t="str">
        <f>Etiquettes!$C$7</f>
        <v>kt</v>
      </c>
      <c r="H44" s="111" t="str">
        <f>Etiquettes!$C$4</f>
        <v>Viande bovine</v>
      </c>
      <c r="I44" s="27">
        <f>Etiquettes!$J$6</f>
        <v>2023</v>
      </c>
      <c r="J44" s="27" t="str">
        <f>Etiquettes!$C$5</f>
        <v>France entière</v>
      </c>
      <c r="M44"/>
      <c r="U44" s="205"/>
    </row>
    <row r="45" spans="1:21">
      <c r="A45" s="10">
        <f t="shared" si="3"/>
        <v>32</v>
      </c>
      <c r="B45" t="str">
        <f>Produits!$B$20</f>
        <v>Viande de gros bovins</v>
      </c>
      <c r="C45" t="str">
        <f>Secteurs!$B$16</f>
        <v>Boucherie</v>
      </c>
      <c r="D45">
        <v>-1</v>
      </c>
      <c r="G45" s="27" t="str">
        <f>Etiquettes!$C$7</f>
        <v>kt</v>
      </c>
      <c r="H45" s="111" t="str">
        <f>Etiquettes!$C$4</f>
        <v>Viande bovine</v>
      </c>
      <c r="I45" s="27">
        <f>Etiquettes!$J$6</f>
        <v>2023</v>
      </c>
      <c r="J45" s="27" t="str">
        <f>Etiquettes!$C$5</f>
        <v>France entière</v>
      </c>
      <c r="K45" s="38" t="s">
        <v>576</v>
      </c>
      <c r="L45" s="38" t="s">
        <v>581</v>
      </c>
      <c r="M45" t="s">
        <v>574</v>
      </c>
      <c r="N45" s="38" t="str" cm="1">
        <f t="array" aca="1" ref="N45" ca="1">[1]!NOM_FEUILLE('Consommation - IDELE'!$A$1)</f>
        <v>Consommation - IDELE</v>
      </c>
      <c r="O45" s="38" t="str">
        <f>Etiquettes!$J$11</f>
        <v>Répartition</v>
      </c>
      <c r="P45" t="str">
        <f t="shared" ref="P45" si="4">_xlfn.CONCAT(K45," = ",MROUND(D44*100,0.01)," % (",M45,")")</f>
        <v>Part de viande de gros bovins consommée en boucherie = 12,2 % (Où va le bœuf ? - Idele)</v>
      </c>
      <c r="Q45" s="10" t="str">
        <f>Etiquettes!$J$15</f>
        <v>Probable</v>
      </c>
      <c r="R45" s="112" t="s">
        <v>664</v>
      </c>
      <c r="S45" s="111" t="str">
        <f>Etiquettes!$H$17</f>
        <v>Donnée collectée (valeur du flux ou coefficient)</v>
      </c>
      <c r="U45" s="205"/>
    </row>
    <row r="46" spans="1:21">
      <c r="A46" s="10">
        <f t="shared" si="3"/>
        <v>33</v>
      </c>
      <c r="B46" t="str">
        <f>Produits!$B$20</f>
        <v>Viande de gros bovins</v>
      </c>
      <c r="C46" t="str">
        <f>Secteurs!$B$10</f>
        <v>Débouchés</v>
      </c>
      <c r="D46" s="29">
        <f>'Consommation - IDELE'!H117</f>
        <v>0.27100000000000002</v>
      </c>
      <c r="G46" s="27" t="str">
        <f>Etiquettes!$C$7</f>
        <v>kt</v>
      </c>
      <c r="H46" s="111" t="str">
        <f>Etiquettes!$C$4</f>
        <v>Viande bovine</v>
      </c>
      <c r="I46" s="27">
        <f>Etiquettes!$J$6</f>
        <v>2023</v>
      </c>
      <c r="J46" s="27" t="str">
        <f>Etiquettes!$C$5</f>
        <v>France entière</v>
      </c>
      <c r="M46"/>
      <c r="U46" s="205"/>
    </row>
    <row r="47" spans="1:21">
      <c r="A47" s="10">
        <f t="shared" si="3"/>
        <v>33</v>
      </c>
      <c r="B47" t="str">
        <f>Produits!$B$20</f>
        <v>Viande de gros bovins</v>
      </c>
      <c r="C47" t="str">
        <f>Secteurs!$B$19</f>
        <v>RHD</v>
      </c>
      <c r="D47">
        <v>-1</v>
      </c>
      <c r="G47" s="27" t="str">
        <f>Etiquettes!$C$7</f>
        <v>kt</v>
      </c>
      <c r="H47" s="111" t="str">
        <f>Etiquettes!$C$4</f>
        <v>Viande bovine</v>
      </c>
      <c r="I47" s="27">
        <f>Etiquettes!$J$6</f>
        <v>2023</v>
      </c>
      <c r="J47" s="27" t="str">
        <f>Etiquettes!$C$5</f>
        <v>France entière</v>
      </c>
      <c r="K47" s="38" t="s">
        <v>577</v>
      </c>
      <c r="L47" s="38" t="s">
        <v>581</v>
      </c>
      <c r="M47" t="s">
        <v>574</v>
      </c>
      <c r="N47" s="38" t="str" cm="1">
        <f t="array" aca="1" ref="N47" ca="1">[1]!NOM_FEUILLE('Consommation - IDELE'!$A$1)</f>
        <v>Consommation - IDELE</v>
      </c>
      <c r="O47" s="38" t="str">
        <f>Etiquettes!$J$11</f>
        <v>Répartition</v>
      </c>
      <c r="P47" t="str">
        <f t="shared" ref="P47" si="5">_xlfn.CONCAT(K47," = ",MROUND(D46*100,0.01)," % (",M47,")")</f>
        <v>Part de viande de gros bovins consommée en RHD = 27,1 % (Où va le bœuf ? - Idele)</v>
      </c>
      <c r="Q47" s="10" t="str">
        <f>Etiquettes!$J$15</f>
        <v>Probable</v>
      </c>
      <c r="R47" s="112" t="s">
        <v>664</v>
      </c>
      <c r="S47" s="111" t="str">
        <f>Etiquettes!$H$17</f>
        <v>Donnée collectée (valeur du flux ou coefficient)</v>
      </c>
      <c r="U47" s="205"/>
    </row>
    <row r="48" spans="1:21">
      <c r="A48" s="10">
        <f t="shared" si="3"/>
        <v>34</v>
      </c>
      <c r="B48" t="str">
        <f>Produits!$B$20</f>
        <v>Viande de gros bovins</v>
      </c>
      <c r="C48" t="str">
        <f>Secteurs!$B$10</f>
        <v>Débouchés</v>
      </c>
      <c r="D48" s="29">
        <f>'Consommation - IDELE'!H118</f>
        <v>0.122</v>
      </c>
      <c r="G48" s="27" t="str">
        <f>Etiquettes!$C$7</f>
        <v>kt</v>
      </c>
      <c r="H48" s="111" t="str">
        <f>Etiquettes!$C$4</f>
        <v>Viande bovine</v>
      </c>
      <c r="I48" s="27">
        <f>Etiquettes!$J$6</f>
        <v>2023</v>
      </c>
      <c r="J48" s="27" t="str">
        <f>Etiquettes!$C$5</f>
        <v>France entière</v>
      </c>
      <c r="M48"/>
      <c r="U48" s="205"/>
    </row>
    <row r="49" spans="1:21">
      <c r="A49" s="10">
        <f t="shared" si="3"/>
        <v>34</v>
      </c>
      <c r="B49" t="str">
        <f>Produits!$B$20</f>
        <v>Viande de gros bovins</v>
      </c>
      <c r="C49" t="str">
        <f>Secteurs!$B$20</f>
        <v>Autres IAA</v>
      </c>
      <c r="D49">
        <v>-1</v>
      </c>
      <c r="G49" s="27" t="str">
        <f>Etiquettes!$C$7</f>
        <v>kt</v>
      </c>
      <c r="H49" s="111" t="str">
        <f>Etiquettes!$C$4</f>
        <v>Viande bovine</v>
      </c>
      <c r="I49" s="27">
        <f>Etiquettes!$J$6</f>
        <v>2023</v>
      </c>
      <c r="J49" s="27" t="str">
        <f>Etiquettes!$C$5</f>
        <v>France entière</v>
      </c>
      <c r="K49" s="38" t="s">
        <v>582</v>
      </c>
      <c r="L49" s="38" t="s">
        <v>581</v>
      </c>
      <c r="M49" t="s">
        <v>574</v>
      </c>
      <c r="N49" s="38" t="str" cm="1">
        <f t="array" aca="1" ref="N49" ca="1">[1]!NOM_FEUILLE('Consommation - IDELE'!$A$1)</f>
        <v>Consommation - IDELE</v>
      </c>
      <c r="O49" s="38" t="str">
        <f>Etiquettes!$J$11</f>
        <v>Répartition</v>
      </c>
      <c r="P49" t="str">
        <f t="shared" ref="P49" si="6">_xlfn.CONCAT(K49," = ",MROUND(D48*100,0.01)," % (",M49,")")</f>
        <v>Part de viande de gros bovins pour la fabrication de plats préparés = 12,2 % (Où va le bœuf ? - Idele)</v>
      </c>
      <c r="Q49" s="10" t="str">
        <f>Etiquettes!$J$15</f>
        <v>Probable</v>
      </c>
      <c r="R49" s="112" t="s">
        <v>664</v>
      </c>
      <c r="S49" s="111" t="str">
        <f>Etiquettes!$H$17</f>
        <v>Donnée collectée (valeur du flux ou coefficient)</v>
      </c>
      <c r="U49" s="205"/>
    </row>
    <row r="50" spans="1:21">
      <c r="A50" s="10">
        <f t="shared" si="3"/>
        <v>35</v>
      </c>
      <c r="B50" t="str">
        <f>Produits!$B$20</f>
        <v>Viande de gros bovins</v>
      </c>
      <c r="C50" t="str">
        <f>Secteurs!$B$10</f>
        <v>Débouchés</v>
      </c>
      <c r="D50" s="29">
        <f>'Consommation - IDELE'!H119</f>
        <v>4.4999999999999998E-2</v>
      </c>
      <c r="G50" s="27" t="str">
        <f>Etiquettes!$C$7</f>
        <v>kt</v>
      </c>
      <c r="H50" s="111" t="str">
        <f>Etiquettes!$C$4</f>
        <v>Viande bovine</v>
      </c>
      <c r="I50" s="27">
        <f>Etiquettes!$J$6</f>
        <v>2023</v>
      </c>
      <c r="J50" s="27" t="str">
        <f>Etiquettes!$C$5</f>
        <v>France entière</v>
      </c>
      <c r="M50"/>
      <c r="U50" s="205"/>
    </row>
    <row r="51" spans="1:21" ht="15" thickBot="1">
      <c r="A51" s="10">
        <f t="shared" si="3"/>
        <v>35</v>
      </c>
      <c r="B51" t="str">
        <f>Produits!$B$20</f>
        <v>Viande de gros bovins</v>
      </c>
      <c r="C51" t="str">
        <f>Secteurs!$B$13</f>
        <v>Vente directe et autoconsommation</v>
      </c>
      <c r="D51">
        <v>-1</v>
      </c>
      <c r="G51" s="27" t="str">
        <f>Etiquettes!$C$7</f>
        <v>kt</v>
      </c>
      <c r="H51" s="111" t="str">
        <f>Etiquettes!$C$4</f>
        <v>Viande bovine</v>
      </c>
      <c r="I51" s="27">
        <f>Etiquettes!$J$6</f>
        <v>2023</v>
      </c>
      <c r="J51" s="27" t="str">
        <f>Etiquettes!$C$5</f>
        <v>France entière</v>
      </c>
      <c r="K51" s="38" t="s">
        <v>579</v>
      </c>
      <c r="L51" s="38" t="s">
        <v>581</v>
      </c>
      <c r="M51" t="s">
        <v>574</v>
      </c>
      <c r="N51" s="38" t="str" cm="1">
        <f t="array" aca="1" ref="N51" ca="1">[1]!NOM_FEUILLE('Consommation - IDELE'!$A$1)</f>
        <v>Consommation - IDELE</v>
      </c>
      <c r="O51" s="38" t="str">
        <f>Etiquettes!$J$11</f>
        <v>Répartition</v>
      </c>
      <c r="P51" t="str">
        <f t="shared" ref="P51" si="7">_xlfn.CONCAT(K51," = ",MROUND(D50*100,0.01)," % (",M51,")")</f>
        <v>Part de viande de gros bovins vendue directement ou autoconsommée = 4,5 % (Où va le bœuf ? - Idele)</v>
      </c>
      <c r="Q51" s="10" t="str">
        <f>Etiquettes!$J$15</f>
        <v>Probable</v>
      </c>
      <c r="R51" s="112" t="s">
        <v>664</v>
      </c>
      <c r="S51" s="111" t="str">
        <f>Etiquettes!$H$17</f>
        <v>Donnée collectée (valeur du flux ou coefficient)</v>
      </c>
      <c r="U51" s="205"/>
    </row>
    <row r="52" spans="1:21">
      <c r="A52" s="10">
        <f t="shared" si="3"/>
        <v>36</v>
      </c>
      <c r="B52" t="str">
        <f>Produits!$B$19</f>
        <v>Viande de veaux</v>
      </c>
      <c r="C52" t="str">
        <f>Secteurs!$B$10</f>
        <v>Débouchés</v>
      </c>
      <c r="D52" s="29">
        <f>'Consommation - IDELE'!G181</f>
        <v>0.35</v>
      </c>
      <c r="G52" s="27" t="str">
        <f>Etiquettes!$C$7</f>
        <v>kt</v>
      </c>
      <c r="H52" s="111" t="str">
        <f>Etiquettes!$C$4</f>
        <v>Viande bovine</v>
      </c>
      <c r="I52" s="111" t="str">
        <f>Etiquettes!$C$6</f>
        <v>2015:2019:2023</v>
      </c>
      <c r="J52" s="27" t="str">
        <f>Etiquettes!$C$5</f>
        <v>France entière</v>
      </c>
      <c r="M52"/>
      <c r="U52" s="220" t="s">
        <v>588</v>
      </c>
    </row>
    <row r="53" spans="1:21">
      <c r="A53" s="10">
        <f t="shared" si="3"/>
        <v>36</v>
      </c>
      <c r="B53" t="str">
        <f>Produits!$B$19</f>
        <v>Viande de veaux</v>
      </c>
      <c r="C53" t="str">
        <f>Secteurs!$B$18</f>
        <v>GMS</v>
      </c>
      <c r="D53">
        <v>-1</v>
      </c>
      <c r="G53" s="27" t="str">
        <f>Etiquettes!$C$7</f>
        <v>kt</v>
      </c>
      <c r="H53" s="111" t="str">
        <f>Etiquettes!$C$4</f>
        <v>Viande bovine</v>
      </c>
      <c r="I53" s="111" t="str">
        <f>Etiquettes!$C$6</f>
        <v>2015:2019:2023</v>
      </c>
      <c r="J53" s="27" t="str">
        <f>Etiquettes!$C$5</f>
        <v>France entière</v>
      </c>
      <c r="K53" s="38" t="s">
        <v>583</v>
      </c>
      <c r="L53" s="38" t="s">
        <v>581</v>
      </c>
      <c r="M53" t="s">
        <v>587</v>
      </c>
      <c r="N53" s="38" t="str" cm="1">
        <f t="array" aca="1" ref="N53" ca="1">[1]!NOM_FEUILLE('Consommation - IDELE'!$A$1)</f>
        <v>Consommation - IDELE</v>
      </c>
      <c r="O53" s="38" t="str">
        <f>Etiquettes!$J$11</f>
        <v>Répartition</v>
      </c>
      <c r="P53" t="str">
        <f t="shared" ref="P53" si="8">_xlfn.CONCAT(K53," = ",MROUND(D52*100,0.01)," % (",M53,")")</f>
        <v>Part de viande de veaux consommée en GMS = 35 % (Où va le veau ? - Idele)</v>
      </c>
      <c r="Q53" s="10" t="str">
        <f>Etiquettes!$J$15</f>
        <v>Probable</v>
      </c>
      <c r="R53" s="112" t="s">
        <v>664</v>
      </c>
      <c r="S53" s="111" t="str">
        <f>Etiquettes!$H$17</f>
        <v>Donnée collectée (valeur du flux ou coefficient)</v>
      </c>
      <c r="U53" s="205"/>
    </row>
    <row r="54" spans="1:21">
      <c r="A54" s="10">
        <f t="shared" si="3"/>
        <v>37</v>
      </c>
      <c r="B54" t="str">
        <f>Produits!$B$19</f>
        <v>Viande de veaux</v>
      </c>
      <c r="C54" t="str">
        <f>Secteurs!$B$10</f>
        <v>Débouchés</v>
      </c>
      <c r="D54" s="29">
        <f>'Consommation - IDELE'!G182</f>
        <v>0.35</v>
      </c>
      <c r="G54" s="27" t="str">
        <f>Etiquettes!$C$7</f>
        <v>kt</v>
      </c>
      <c r="H54" s="111" t="str">
        <f>Etiquettes!$C$4</f>
        <v>Viande bovine</v>
      </c>
      <c r="I54" s="111" t="str">
        <f>Etiquettes!$C$6</f>
        <v>2015:2019:2023</v>
      </c>
      <c r="J54" s="27" t="str">
        <f>Etiquettes!$C$5</f>
        <v>France entière</v>
      </c>
      <c r="M54"/>
      <c r="U54" s="205"/>
    </row>
    <row r="55" spans="1:21">
      <c r="A55" s="10">
        <f t="shared" si="3"/>
        <v>37</v>
      </c>
      <c r="B55" t="str">
        <f>Produits!$B$19</f>
        <v>Viande de veaux</v>
      </c>
      <c r="C55" t="str">
        <f>Secteurs!$B$16</f>
        <v>Boucherie</v>
      </c>
      <c r="D55">
        <v>-1</v>
      </c>
      <c r="G55" s="27" t="str">
        <f>Etiquettes!$C$7</f>
        <v>kt</v>
      </c>
      <c r="H55" s="111" t="str">
        <f>Etiquettes!$C$4</f>
        <v>Viande bovine</v>
      </c>
      <c r="I55" s="111" t="str">
        <f>Etiquettes!$C$6</f>
        <v>2015:2019:2023</v>
      </c>
      <c r="J55" s="27" t="str">
        <f>Etiquettes!$C$5</f>
        <v>France entière</v>
      </c>
      <c r="K55" s="38" t="s">
        <v>584</v>
      </c>
      <c r="L55" s="38" t="s">
        <v>581</v>
      </c>
      <c r="M55" t="s">
        <v>587</v>
      </c>
      <c r="N55" s="38" t="str" cm="1">
        <f t="array" aca="1" ref="N55" ca="1">[1]!NOM_FEUILLE('Consommation - IDELE'!$A$1)</f>
        <v>Consommation - IDELE</v>
      </c>
      <c r="O55" s="38" t="str">
        <f>Etiquettes!$J$11</f>
        <v>Répartition</v>
      </c>
      <c r="P55" t="str">
        <f t="shared" ref="P55" si="9">_xlfn.CONCAT(K55," = ",MROUND(D54*100,0.01)," % (",M55,")")</f>
        <v>Part de viande de veaux consommée en boucherie = 35 % (Où va le veau ? - Idele)</v>
      </c>
      <c r="Q55" s="10" t="str">
        <f>Etiquettes!$J$15</f>
        <v>Probable</v>
      </c>
      <c r="R55" s="112" t="s">
        <v>664</v>
      </c>
      <c r="S55" s="111" t="str">
        <f>Etiquettes!$H$17</f>
        <v>Donnée collectée (valeur du flux ou coefficient)</v>
      </c>
      <c r="U55" s="205"/>
    </row>
    <row r="56" spans="1:21">
      <c r="A56" s="10">
        <f t="shared" si="3"/>
        <v>38</v>
      </c>
      <c r="B56" t="str">
        <f>Produits!$B$19</f>
        <v>Viande de veaux</v>
      </c>
      <c r="C56" t="str">
        <f>Secteurs!$B$10</f>
        <v>Débouchés</v>
      </c>
      <c r="D56" s="29">
        <f>'Consommation - IDELE'!G183</f>
        <v>0.25</v>
      </c>
      <c r="G56" s="27" t="str">
        <f>Etiquettes!$C$7</f>
        <v>kt</v>
      </c>
      <c r="H56" s="111" t="str">
        <f>Etiquettes!$C$4</f>
        <v>Viande bovine</v>
      </c>
      <c r="I56" s="111" t="str">
        <f>Etiquettes!$C$6</f>
        <v>2015:2019:2023</v>
      </c>
      <c r="J56" s="27" t="str">
        <f>Etiquettes!$C$5</f>
        <v>France entière</v>
      </c>
      <c r="M56"/>
      <c r="U56" s="205"/>
    </row>
    <row r="57" spans="1:21">
      <c r="A57" s="10">
        <f t="shared" si="3"/>
        <v>38</v>
      </c>
      <c r="B57" t="str">
        <f>Produits!$B$19</f>
        <v>Viande de veaux</v>
      </c>
      <c r="C57" t="str">
        <f>Secteurs!$B$19</f>
        <v>RHD</v>
      </c>
      <c r="D57">
        <v>-1</v>
      </c>
      <c r="G57" s="27" t="str">
        <f>Etiquettes!$C$7</f>
        <v>kt</v>
      </c>
      <c r="H57" s="111" t="str">
        <f>Etiquettes!$C$4</f>
        <v>Viande bovine</v>
      </c>
      <c r="I57" s="111" t="str">
        <f>Etiquettes!$C$6</f>
        <v>2015:2019:2023</v>
      </c>
      <c r="J57" s="27" t="str">
        <f>Etiquettes!$C$5</f>
        <v>France entière</v>
      </c>
      <c r="K57" s="38" t="s">
        <v>585</v>
      </c>
      <c r="L57" s="38" t="s">
        <v>581</v>
      </c>
      <c r="M57" t="s">
        <v>587</v>
      </c>
      <c r="N57" s="38" t="str" cm="1">
        <f t="array" aca="1" ref="N57" ca="1">[1]!NOM_FEUILLE('Consommation - IDELE'!$A$1)</f>
        <v>Consommation - IDELE</v>
      </c>
      <c r="O57" s="38" t="str">
        <f>Etiquettes!$J$11</f>
        <v>Répartition</v>
      </c>
      <c r="P57" t="str">
        <f t="shared" ref="P57" si="10">_xlfn.CONCAT(K57," = ",MROUND(D56*100,0.01)," % (",M57,")")</f>
        <v>Part de viande de veaux consommée en RHD = 25 % (Où va le veau ? - Idele)</v>
      </c>
      <c r="Q57" s="10" t="str">
        <f>Etiquettes!$J$15</f>
        <v>Probable</v>
      </c>
      <c r="R57" s="112" t="s">
        <v>664</v>
      </c>
      <c r="S57" s="111" t="str">
        <f>Etiquettes!$H$17</f>
        <v>Donnée collectée (valeur du flux ou coefficient)</v>
      </c>
      <c r="U57" s="205"/>
    </row>
    <row r="58" spans="1:21">
      <c r="A58" s="10">
        <f t="shared" si="3"/>
        <v>39</v>
      </c>
      <c r="B58" t="str">
        <f>Produits!$B$19</f>
        <v>Viande de veaux</v>
      </c>
      <c r="C58" t="str">
        <f>Secteurs!$B$10</f>
        <v>Débouchés</v>
      </c>
      <c r="D58" s="29">
        <f>'Consommation - IDELE'!G184</f>
        <v>0.05</v>
      </c>
      <c r="G58" s="27" t="str">
        <f>Etiquettes!$C$7</f>
        <v>kt</v>
      </c>
      <c r="H58" s="111" t="str">
        <f>Etiquettes!$C$4</f>
        <v>Viande bovine</v>
      </c>
      <c r="I58" s="111" t="str">
        <f>Etiquettes!$C$6</f>
        <v>2015:2019:2023</v>
      </c>
      <c r="J58" s="27" t="str">
        <f>Etiquettes!$C$5</f>
        <v>France entière</v>
      </c>
      <c r="M58"/>
      <c r="U58" s="205"/>
    </row>
    <row r="59" spans="1:21">
      <c r="A59" s="10">
        <f t="shared" si="3"/>
        <v>39</v>
      </c>
      <c r="B59" t="str">
        <f>Produits!$B$19</f>
        <v>Viande de veaux</v>
      </c>
      <c r="C59" t="str">
        <f>Secteurs!$B$13</f>
        <v>Vente directe et autoconsommation</v>
      </c>
      <c r="D59">
        <v>-1</v>
      </c>
      <c r="G59" s="27" t="str">
        <f>Etiquettes!$C$7</f>
        <v>kt</v>
      </c>
      <c r="H59" s="111" t="str">
        <f>Etiquettes!$C$4</f>
        <v>Viande bovine</v>
      </c>
      <c r="I59" s="111" t="str">
        <f>Etiquettes!$C$6</f>
        <v>2015:2019:2023</v>
      </c>
      <c r="J59" s="27" t="str">
        <f>Etiquettes!$C$5</f>
        <v>France entière</v>
      </c>
      <c r="K59" s="38" t="s">
        <v>586</v>
      </c>
      <c r="L59" s="38" t="s">
        <v>581</v>
      </c>
      <c r="M59" t="s">
        <v>587</v>
      </c>
      <c r="N59" s="38" t="str" cm="1">
        <f t="array" aca="1" ref="N59" ca="1">[1]!NOM_FEUILLE('Consommation - IDELE'!$A$1)</f>
        <v>Consommation - IDELE</v>
      </c>
      <c r="O59" s="38" t="str">
        <f>Etiquettes!$J$11</f>
        <v>Répartition</v>
      </c>
      <c r="P59" t="str">
        <f t="shared" ref="P59" si="11">_xlfn.CONCAT(K59," = ",MROUND(D58*100,0.01)," % (",M59,")")</f>
        <v>Part de viande de veaux vendue directement ou autoconsommée = 5 % (Où va le veau ? - Idele)</v>
      </c>
      <c r="Q59" s="10" t="str">
        <f>Etiquettes!$J$15</f>
        <v>Probable</v>
      </c>
      <c r="R59" s="112" t="s">
        <v>664</v>
      </c>
      <c r="S59" s="111" t="str">
        <f>Etiquettes!$H$17</f>
        <v>Donnée collectée (valeur du flux ou coefficient)</v>
      </c>
      <c r="U59" s="205"/>
    </row>
  </sheetData>
  <mergeCells count="4">
    <mergeCell ref="U42:U51"/>
    <mergeCell ref="U52:U59"/>
    <mergeCell ref="U2:U21"/>
    <mergeCell ref="U22:U41"/>
  </mergeCells>
  <phoneticPr fontId="33"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4A7E-2A07-4BA0-B23D-362FAFB4196A}">
  <sheetPr>
    <tabColor theme="1"/>
  </sheetPr>
  <dimension ref="A1:Q20"/>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124" t="s">
        <v>30</v>
      </c>
      <c r="B1" s="125" t="s">
        <v>31</v>
      </c>
      <c r="C1" s="125" t="s">
        <v>32</v>
      </c>
      <c r="D1" s="125" t="s">
        <v>34</v>
      </c>
      <c r="E1" t="str" cm="1">
        <f t="array" aca="1" ref="E1:Q20" ca="1">_xlfn._xlws.FILTER('Contraintes  '!G1:S199,ISTEXT('Contraintes  '!P1:P199))</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20">_xlfn._xlws.FILTER('Contraintes  '!B2:C199,ISTEXT('Contraintes  '!P2:P199))</f>
        <v>Viande de gros bovins</v>
      </c>
      <c r="B2" t="str">
        <v>GMS</v>
      </c>
      <c r="E2" t="str">
        <f ca="1"/>
        <v>kt</v>
      </c>
      <c r="F2" t="str">
        <f ca="1"/>
        <v>Viande bovine</v>
      </c>
      <c r="G2">
        <f ca="1"/>
        <v>2015</v>
      </c>
      <c r="H2" t="str">
        <f ca="1"/>
        <v>France entière</v>
      </c>
      <c r="I2" t="str">
        <f ca="1"/>
        <v>Part de viande de gros bovins consommée en GMS</v>
      </c>
      <c r="J2" t="str">
        <f ca="1"/>
        <v>Utilisation de la répartition de 2017, en tec</v>
      </c>
      <c r="K2" t="str">
        <f ca="1"/>
        <v>Où va le bœuf ? - Idele</v>
      </c>
      <c r="L2" t="str">
        <f ca="1"/>
        <v>Consommation - IDELE</v>
      </c>
      <c r="M2" t="str">
        <f ca="1"/>
        <v>Répartition</v>
      </c>
      <c r="N2" t="str">
        <f ca="1"/>
        <v>Part de viande de gros bovins consommée en GMS = 48,24 % (Où va le bœuf ? - Idele)</v>
      </c>
      <c r="O2" t="str">
        <f ca="1"/>
        <v>Probable</v>
      </c>
      <c r="P2" t="str">
        <f ca="1"/>
        <v>Données collectées:Données déterminées</v>
      </c>
      <c r="Q2" t="str">
        <f ca="1"/>
        <v>Donnée collectée (valeur du flux ou coefficient)</v>
      </c>
    </row>
    <row r="3" spans="1:17">
      <c r="A3" t="str">
        <v>Viande de gros bovins</v>
      </c>
      <c r="B3" t="str">
        <v>Boucherie</v>
      </c>
      <c r="E3" t="str">
        <f ca="1"/>
        <v>kt</v>
      </c>
      <c r="F3" t="str">
        <f ca="1"/>
        <v>Viande bovine</v>
      </c>
      <c r="G3">
        <f ca="1"/>
        <v>2015</v>
      </c>
      <c r="H3" t="str">
        <f ca="1"/>
        <v>France entière</v>
      </c>
      <c r="I3" t="str">
        <f ca="1"/>
        <v>Part de viande de gros bovins consommée en boucherie</v>
      </c>
      <c r="J3" t="str">
        <f ca="1"/>
        <v>Utilisation de la répartition de 2017, en tec</v>
      </c>
      <c r="K3" t="str">
        <f ca="1"/>
        <v>Où va le bœuf ? - Idele</v>
      </c>
      <c r="L3" t="str">
        <f ca="1"/>
        <v>Consommation - IDELE</v>
      </c>
      <c r="M3" t="str">
        <f ca="1"/>
        <v>Répartition</v>
      </c>
      <c r="N3" t="str">
        <f ca="1"/>
        <v>Part de viande de gros bovins consommée en boucherie = 11,76 % (Où va le bœuf ? - Idele)</v>
      </c>
      <c r="O3" t="str">
        <f ca="1"/>
        <v>Probable</v>
      </c>
      <c r="P3" t="str">
        <f ca="1"/>
        <v>Données collectées:Données déterminées</v>
      </c>
      <c r="Q3" t="str">
        <f ca="1"/>
        <v>Donnée collectée (valeur du flux ou coefficient)</v>
      </c>
    </row>
    <row r="4" spans="1:17">
      <c r="A4" t="str">
        <v>Viande de gros bovins</v>
      </c>
      <c r="B4" t="str">
        <v>RHD</v>
      </c>
      <c r="E4" t="str">
        <f ca="1"/>
        <v>kt</v>
      </c>
      <c r="F4" t="str">
        <f ca="1"/>
        <v>Viande bovine</v>
      </c>
      <c r="G4">
        <f ca="1"/>
        <v>2015</v>
      </c>
      <c r="H4" t="str">
        <f ca="1"/>
        <v>France entière</v>
      </c>
      <c r="I4" t="str">
        <f ca="1"/>
        <v>Part de viande de gros bovins consommée en RHD</v>
      </c>
      <c r="J4" t="str">
        <f ca="1"/>
        <v>Utilisation de la répartition de 2017, en tec</v>
      </c>
      <c r="K4" t="str">
        <f ca="1"/>
        <v>Où va le bœuf ? - Idele</v>
      </c>
      <c r="L4" t="str">
        <f ca="1"/>
        <v>Consommation - IDELE</v>
      </c>
      <c r="M4" t="str">
        <f ca="1"/>
        <v>Répartition</v>
      </c>
      <c r="N4" t="str">
        <f ca="1"/>
        <v>Part de viande de gros bovins consommée en RHD = 23,53 % (Où va le bœuf ? - Idele)</v>
      </c>
      <c r="O4" t="str">
        <f ca="1"/>
        <v>Probable</v>
      </c>
      <c r="P4" t="str">
        <f ca="1"/>
        <v>Données collectées:Données déterminées</v>
      </c>
      <c r="Q4" t="str">
        <f ca="1"/>
        <v>Donnée collectée (valeur du flux ou coefficient)</v>
      </c>
    </row>
    <row r="5" spans="1:17">
      <c r="A5" t="str">
        <v>Viande de gros bovins</v>
      </c>
      <c r="B5" t="str">
        <v>Autres IAA</v>
      </c>
      <c r="E5" t="str">
        <f ca="1"/>
        <v>kt</v>
      </c>
      <c r="F5" t="str">
        <f ca="1"/>
        <v>Viande bovine</v>
      </c>
      <c r="G5">
        <f ca="1"/>
        <v>2015</v>
      </c>
      <c r="H5" t="str">
        <f ca="1"/>
        <v>France entière</v>
      </c>
      <c r="I5" t="str">
        <f ca="1"/>
        <v>Part de viande de gros bovins transformée</v>
      </c>
      <c r="J5" t="str">
        <f ca="1"/>
        <v>Utilisation de la répartition de 2017, en tec</v>
      </c>
      <c r="K5" t="str">
        <f ca="1"/>
        <v>Où va le bœuf ? - Idele</v>
      </c>
      <c r="L5" t="str">
        <f ca="1"/>
        <v>Consommation - IDELE</v>
      </c>
      <c r="M5" t="str">
        <f ca="1"/>
        <v>Répartition</v>
      </c>
      <c r="N5" t="str">
        <f ca="1"/>
        <v>Part de viande de gros bovins transformée = 11,76 % (Où va le bœuf ? - Idele)</v>
      </c>
      <c r="O5" t="str">
        <f ca="1"/>
        <v>Probable</v>
      </c>
      <c r="P5" t="str">
        <f ca="1"/>
        <v>Données collectées:Données déterminées</v>
      </c>
      <c r="Q5" t="str">
        <f ca="1"/>
        <v>Donnée collectée (valeur du flux ou coefficient)</v>
      </c>
    </row>
    <row r="6" spans="1:17">
      <c r="A6" t="str">
        <v>Viande de gros bovins</v>
      </c>
      <c r="B6" t="str">
        <v>Vente directe et autoconsommation</v>
      </c>
      <c r="E6" t="str">
        <f ca="1"/>
        <v>kt</v>
      </c>
      <c r="F6" t="str">
        <f ca="1"/>
        <v>Viande bovine</v>
      </c>
      <c r="G6">
        <f ca="1"/>
        <v>2015</v>
      </c>
      <c r="H6" t="str">
        <f ca="1"/>
        <v>France entière</v>
      </c>
      <c r="I6" t="str">
        <f ca="1"/>
        <v>Part de viande de gros bovins vendue directement ou autoconsommée</v>
      </c>
      <c r="J6" t="str">
        <f ca="1"/>
        <v>Utilisation de la répartition de 2017, en tec</v>
      </c>
      <c r="K6" t="str">
        <f ca="1"/>
        <v>Où va le bœuf ? - Idele</v>
      </c>
      <c r="L6" t="str">
        <f ca="1"/>
        <v>Consommation - IDELE</v>
      </c>
      <c r="M6" t="str">
        <f ca="1"/>
        <v>Répartition</v>
      </c>
      <c r="N6" t="str">
        <f ca="1"/>
        <v>Part de viande de gros bovins vendue directement ou autoconsommée = 4,71 % (Où va le bœuf ? - Idele)</v>
      </c>
      <c r="O6" t="str">
        <f ca="1"/>
        <v>Probable</v>
      </c>
      <c r="P6" t="str">
        <f ca="1"/>
        <v>Données collectées:Données déterminées</v>
      </c>
      <c r="Q6" t="str">
        <f ca="1"/>
        <v>Donnée collectée (valeur du flux ou coefficient)</v>
      </c>
    </row>
    <row r="7" spans="1:17">
      <c r="A7" t="str">
        <v>Viande de gros bovins</v>
      </c>
      <c r="B7" t="str">
        <v>GMS</v>
      </c>
      <c r="E7" t="str">
        <f ca="1"/>
        <v>kt</v>
      </c>
      <c r="F7" t="str">
        <f ca="1"/>
        <v>Viande bovine</v>
      </c>
      <c r="G7">
        <f ca="1"/>
        <v>2019</v>
      </c>
      <c r="H7" t="str">
        <f ca="1"/>
        <v>France entière</v>
      </c>
      <c r="I7" t="str">
        <f ca="1"/>
        <v>Part de viande de gros bovins consommée en GMS</v>
      </c>
      <c r="J7" t="str">
        <f ca="1"/>
        <v>Utilisation de la répartition en tec</v>
      </c>
      <c r="K7" t="str">
        <f ca="1"/>
        <v>Où va le bœuf ? - Idele</v>
      </c>
      <c r="L7" t="str">
        <f ca="1"/>
        <v>Consommation - IDELE</v>
      </c>
      <c r="M7" t="str">
        <f ca="1"/>
        <v>Répartition</v>
      </c>
      <c r="N7" t="str">
        <f ca="1"/>
        <v>Part de viande de gros bovins consommée en GMS = 45,88 % (Où va le bœuf ? - Idele)</v>
      </c>
      <c r="O7" t="str">
        <f ca="1"/>
        <v>Probable</v>
      </c>
      <c r="P7" t="str">
        <f ca="1"/>
        <v>Données collectées:Données déterminées</v>
      </c>
      <c r="Q7" t="str">
        <f ca="1"/>
        <v>Donnée collectée (valeur du flux ou coefficient)</v>
      </c>
    </row>
    <row r="8" spans="1:17">
      <c r="A8" t="str">
        <v>Viande de gros bovins</v>
      </c>
      <c r="B8" t="str">
        <v>Boucherie</v>
      </c>
      <c r="E8" t="str">
        <f ca="1"/>
        <v>kt</v>
      </c>
      <c r="F8" t="str">
        <f ca="1"/>
        <v>Viande bovine</v>
      </c>
      <c r="G8">
        <f ca="1"/>
        <v>2019</v>
      </c>
      <c r="H8" t="str">
        <f ca="1"/>
        <v>France entière</v>
      </c>
      <c r="I8" t="str">
        <f ca="1"/>
        <v>Part de viande de gros bovins consommée en boucherie</v>
      </c>
      <c r="J8" t="str">
        <f ca="1"/>
        <v>Utilisation de la répartition en tec</v>
      </c>
      <c r="K8" t="str">
        <f ca="1"/>
        <v>Où va le bœuf ? - Idele</v>
      </c>
      <c r="L8" t="str">
        <f ca="1"/>
        <v>Consommation - IDELE</v>
      </c>
      <c r="M8" t="str">
        <f ca="1"/>
        <v>Répartition</v>
      </c>
      <c r="N8" t="str">
        <f ca="1"/>
        <v>Part de viande de gros bovins consommée en boucherie = 10,59 % (Où va le bœuf ? - Idele)</v>
      </c>
      <c r="O8" t="str">
        <f ca="1"/>
        <v>Probable</v>
      </c>
      <c r="P8" t="str">
        <f ca="1"/>
        <v>Données collectées:Données déterminées</v>
      </c>
      <c r="Q8" t="str">
        <f ca="1"/>
        <v>Donnée collectée (valeur du flux ou coefficient)</v>
      </c>
    </row>
    <row r="9" spans="1:17">
      <c r="A9" t="str">
        <v>Viande de gros bovins</v>
      </c>
      <c r="B9" t="str">
        <v>RHD</v>
      </c>
      <c r="E9" t="str">
        <f ca="1"/>
        <v>kt</v>
      </c>
      <c r="F9" t="str">
        <f ca="1"/>
        <v>Viande bovine</v>
      </c>
      <c r="G9">
        <f ca="1"/>
        <v>2019</v>
      </c>
      <c r="H9" t="str">
        <f ca="1"/>
        <v>France entière</v>
      </c>
      <c r="I9" t="str">
        <f ca="1"/>
        <v>Part de viande de gros bovins consommée en RHD</v>
      </c>
      <c r="J9" t="str">
        <f ca="1"/>
        <v>Utilisation de la répartition en tec</v>
      </c>
      <c r="K9" t="str">
        <f ca="1"/>
        <v>Où va le bœuf ? - Idele</v>
      </c>
      <c r="L9" t="str">
        <f ca="1"/>
        <v>Consommation - IDELE</v>
      </c>
      <c r="M9" t="str">
        <f ca="1"/>
        <v>Répartition</v>
      </c>
      <c r="N9" t="str">
        <f ca="1"/>
        <v>Part de viande de gros bovins consommée en RHD = 27,06 % (Où va le bœuf ? - Idele)</v>
      </c>
      <c r="O9" t="str">
        <f ca="1"/>
        <v>Probable</v>
      </c>
      <c r="P9" t="str">
        <f ca="1"/>
        <v>Données collectées:Données déterminées</v>
      </c>
      <c r="Q9" t="str">
        <f ca="1"/>
        <v>Donnée collectée (valeur du flux ou coefficient)</v>
      </c>
    </row>
    <row r="10" spans="1:17">
      <c r="A10" t="str">
        <v>Viande de gros bovins</v>
      </c>
      <c r="B10" t="str">
        <v>Autres IAA</v>
      </c>
      <c r="E10" t="str">
        <f ca="1"/>
        <v>kt</v>
      </c>
      <c r="F10" t="str">
        <f ca="1"/>
        <v>Viande bovine</v>
      </c>
      <c r="G10">
        <f ca="1"/>
        <v>2019</v>
      </c>
      <c r="H10" t="str">
        <f ca="1"/>
        <v>France entière</v>
      </c>
      <c r="I10" t="str">
        <f ca="1"/>
        <v>Part de viande de gros bovins pour la fabrication de plats préparés</v>
      </c>
      <c r="J10" t="str">
        <f ca="1"/>
        <v>Utilisation de la répartition en tec</v>
      </c>
      <c r="K10" t="str">
        <f ca="1"/>
        <v>Où va le bœuf ? - Idele</v>
      </c>
      <c r="L10" t="str">
        <f ca="1"/>
        <v>Consommation - IDELE</v>
      </c>
      <c r="M10" t="str">
        <f ca="1"/>
        <v>Répartition</v>
      </c>
      <c r="N10" t="str">
        <f ca="1"/>
        <v>Part de viande de gros bovins pour la fabrication de plats préparés = 11,76 % (Où va le bœuf ? - Idele)</v>
      </c>
      <c r="O10" t="str">
        <f ca="1"/>
        <v>Probable</v>
      </c>
      <c r="P10" t="str">
        <f ca="1"/>
        <v>Données collectées:Données déterminées</v>
      </c>
      <c r="Q10" t="str">
        <f ca="1"/>
        <v>Donnée collectée (valeur du flux ou coefficient)</v>
      </c>
    </row>
    <row r="11" spans="1:17">
      <c r="A11" t="str">
        <v>Viande de gros bovins</v>
      </c>
      <c r="B11" t="str">
        <v>Vente directe et autoconsommation</v>
      </c>
      <c r="E11" t="str">
        <f ca="1"/>
        <v>kt</v>
      </c>
      <c r="F11" t="str">
        <f ca="1"/>
        <v>Viande bovine</v>
      </c>
      <c r="G11">
        <f ca="1"/>
        <v>2019</v>
      </c>
      <c r="H11" t="str">
        <f ca="1"/>
        <v>France entière</v>
      </c>
      <c r="I11" t="str">
        <f ca="1"/>
        <v>Part de viande de gros bovins vendue directement ou autoconsommée</v>
      </c>
      <c r="J11" t="str">
        <f ca="1"/>
        <v>Utilisation de la répartition en tec</v>
      </c>
      <c r="K11" t="str">
        <f ca="1"/>
        <v>Où va le bœuf ? - Idele</v>
      </c>
      <c r="L11" t="str">
        <f ca="1"/>
        <v>Consommation - IDELE</v>
      </c>
      <c r="M11" t="str">
        <f ca="1"/>
        <v>Répartition</v>
      </c>
      <c r="N11" t="str">
        <f ca="1"/>
        <v>Part de viande de gros bovins vendue directement ou autoconsommée = 4,71 % (Où va le bœuf ? - Idele)</v>
      </c>
      <c r="O11" t="str">
        <f ca="1"/>
        <v>Probable</v>
      </c>
      <c r="P11" t="str">
        <f ca="1"/>
        <v>Données collectées:Données déterminées</v>
      </c>
      <c r="Q11" t="str">
        <f ca="1"/>
        <v>Donnée collectée (valeur du flux ou coefficient)</v>
      </c>
    </row>
    <row r="12" spans="1:17">
      <c r="A12" t="str">
        <v>Viande de gros bovins</v>
      </c>
      <c r="B12" t="str">
        <v>GMS</v>
      </c>
      <c r="E12" t="str">
        <f ca="1"/>
        <v>kt</v>
      </c>
      <c r="F12" t="str">
        <f ca="1"/>
        <v>Viande bovine</v>
      </c>
      <c r="G12">
        <f ca="1"/>
        <v>2023</v>
      </c>
      <c r="H12" t="str">
        <f ca="1"/>
        <v>France entière</v>
      </c>
      <c r="I12" t="str">
        <f ca="1"/>
        <v>Part de viande de gros bovins consommée en GMS</v>
      </c>
      <c r="J12" t="str">
        <f ca="1"/>
        <v>Utilisation de la répartition de 2022, en tec</v>
      </c>
      <c r="K12" t="str">
        <f ca="1"/>
        <v>Où va le bœuf ? - Idele</v>
      </c>
      <c r="L12" t="str">
        <f ca="1"/>
        <v>Consommation - IDELE</v>
      </c>
      <c r="M12" t="str">
        <f ca="1"/>
        <v>Répartition</v>
      </c>
      <c r="N12" t="str">
        <f ca="1"/>
        <v>Part de viande de gros bovins consommée en GMS = 44 % (Où va le bœuf ? - Idele)</v>
      </c>
      <c r="O12" t="str">
        <f ca="1"/>
        <v>Probable</v>
      </c>
      <c r="P12" t="str">
        <f ca="1"/>
        <v>Données collectées:Données déterminées</v>
      </c>
      <c r="Q12" t="str">
        <f ca="1"/>
        <v>Donnée collectée (valeur du flux ou coefficient)</v>
      </c>
    </row>
    <row r="13" spans="1:17">
      <c r="A13" t="str">
        <v>Viande de gros bovins</v>
      </c>
      <c r="B13" t="str">
        <v>Boucherie</v>
      </c>
      <c r="E13" t="str">
        <f ca="1"/>
        <v>kt</v>
      </c>
      <c r="F13" t="str">
        <f ca="1"/>
        <v>Viande bovine</v>
      </c>
      <c r="G13">
        <f ca="1"/>
        <v>2023</v>
      </c>
      <c r="H13" t="str">
        <f ca="1"/>
        <v>France entière</v>
      </c>
      <c r="I13" t="str">
        <f ca="1"/>
        <v>Part de viande de gros bovins consommée en boucherie</v>
      </c>
      <c r="J13" t="str">
        <f ca="1"/>
        <v>Utilisation de la répartition de 2022, en tec</v>
      </c>
      <c r="K13" t="str">
        <f ca="1"/>
        <v>Où va le bœuf ? - Idele</v>
      </c>
      <c r="L13" t="str">
        <f ca="1"/>
        <v>Consommation - IDELE</v>
      </c>
      <c r="M13" t="str">
        <f ca="1"/>
        <v>Répartition</v>
      </c>
      <c r="N13" t="str">
        <f ca="1"/>
        <v>Part de viande de gros bovins consommée en boucherie = 12,2 % (Où va le bœuf ? - Idele)</v>
      </c>
      <c r="O13" t="str">
        <f ca="1"/>
        <v>Probable</v>
      </c>
      <c r="P13" t="str">
        <f ca="1"/>
        <v>Données collectées:Données déterminées</v>
      </c>
      <c r="Q13" t="str">
        <f ca="1"/>
        <v>Donnée collectée (valeur du flux ou coefficient)</v>
      </c>
    </row>
    <row r="14" spans="1:17">
      <c r="A14" t="str">
        <v>Viande de gros bovins</v>
      </c>
      <c r="B14" t="str">
        <v>RHD</v>
      </c>
      <c r="E14" t="str">
        <f ca="1"/>
        <v>kt</v>
      </c>
      <c r="F14" t="str">
        <f ca="1"/>
        <v>Viande bovine</v>
      </c>
      <c r="G14">
        <f ca="1"/>
        <v>2023</v>
      </c>
      <c r="H14" t="str">
        <f ca="1"/>
        <v>France entière</v>
      </c>
      <c r="I14" t="str">
        <f ca="1"/>
        <v>Part de viande de gros bovins consommée en RHD</v>
      </c>
      <c r="J14" t="str">
        <f ca="1"/>
        <v>Utilisation de la répartition de 2022, en tec</v>
      </c>
      <c r="K14" t="str">
        <f ca="1"/>
        <v>Où va le bœuf ? - Idele</v>
      </c>
      <c r="L14" t="str">
        <f ca="1"/>
        <v>Consommation - IDELE</v>
      </c>
      <c r="M14" t="str">
        <f ca="1"/>
        <v>Répartition</v>
      </c>
      <c r="N14" t="str">
        <f ca="1"/>
        <v>Part de viande de gros bovins consommée en RHD = 27,1 % (Où va le bœuf ? - Idele)</v>
      </c>
      <c r="O14" t="str">
        <f ca="1"/>
        <v>Probable</v>
      </c>
      <c r="P14" t="str">
        <f ca="1"/>
        <v>Données collectées:Données déterminées</v>
      </c>
      <c r="Q14" t="str">
        <f ca="1"/>
        <v>Donnée collectée (valeur du flux ou coefficient)</v>
      </c>
    </row>
    <row r="15" spans="1:17">
      <c r="A15" t="str">
        <v>Viande de gros bovins</v>
      </c>
      <c r="B15" t="str">
        <v>Autres IAA</v>
      </c>
      <c r="E15" t="str">
        <f ca="1"/>
        <v>kt</v>
      </c>
      <c r="F15" t="str">
        <f ca="1"/>
        <v>Viande bovine</v>
      </c>
      <c r="G15">
        <f ca="1"/>
        <v>2023</v>
      </c>
      <c r="H15" t="str">
        <f ca="1"/>
        <v>France entière</v>
      </c>
      <c r="I15" t="str">
        <f ca="1"/>
        <v>Part de viande de gros bovins pour la fabrication de plats préparés</v>
      </c>
      <c r="J15" t="str">
        <f ca="1"/>
        <v>Utilisation de la répartition de 2022, en tec</v>
      </c>
      <c r="K15" t="str">
        <f ca="1"/>
        <v>Où va le bœuf ? - Idele</v>
      </c>
      <c r="L15" t="str">
        <f ca="1"/>
        <v>Consommation - IDELE</v>
      </c>
      <c r="M15" t="str">
        <f ca="1"/>
        <v>Répartition</v>
      </c>
      <c r="N15" t="str">
        <f ca="1"/>
        <v>Part de viande de gros bovins pour la fabrication de plats préparés = 12,2 % (Où va le bœuf ? - Idele)</v>
      </c>
      <c r="O15" t="str">
        <f ca="1"/>
        <v>Probable</v>
      </c>
      <c r="P15" t="str">
        <f ca="1"/>
        <v>Données collectées:Données déterminées</v>
      </c>
      <c r="Q15" t="str">
        <f ca="1"/>
        <v>Donnée collectée (valeur du flux ou coefficient)</v>
      </c>
    </row>
    <row r="16" spans="1:17">
      <c r="A16" t="str">
        <v>Viande de gros bovins</v>
      </c>
      <c r="B16" t="str">
        <v>Vente directe et autoconsommation</v>
      </c>
      <c r="E16" t="str">
        <f ca="1"/>
        <v>kt</v>
      </c>
      <c r="F16" t="str">
        <f ca="1"/>
        <v>Viande bovine</v>
      </c>
      <c r="G16">
        <f ca="1"/>
        <v>2023</v>
      </c>
      <c r="H16" t="str">
        <f ca="1"/>
        <v>France entière</v>
      </c>
      <c r="I16" t="str">
        <f ca="1"/>
        <v>Part de viande de gros bovins vendue directement ou autoconsommée</v>
      </c>
      <c r="J16" t="str">
        <f ca="1"/>
        <v>Utilisation de la répartition de 2022, en tec</v>
      </c>
      <c r="K16" t="str">
        <f ca="1"/>
        <v>Où va le bœuf ? - Idele</v>
      </c>
      <c r="L16" t="str">
        <f ca="1"/>
        <v>Consommation - IDELE</v>
      </c>
      <c r="M16" t="str">
        <f ca="1"/>
        <v>Répartition</v>
      </c>
      <c r="N16" t="str">
        <f ca="1"/>
        <v>Part de viande de gros bovins vendue directement ou autoconsommée = 4,5 % (Où va le bœuf ? - Idele)</v>
      </c>
      <c r="O16" t="str">
        <f ca="1"/>
        <v>Probable</v>
      </c>
      <c r="P16" t="str">
        <f ca="1"/>
        <v>Données collectées:Données déterminées</v>
      </c>
      <c r="Q16" t="str">
        <f ca="1"/>
        <v>Donnée collectée (valeur du flux ou coefficient)</v>
      </c>
    </row>
    <row r="17" spans="1:17">
      <c r="A17" t="str">
        <v>Viande de veaux</v>
      </c>
      <c r="B17" t="str">
        <v>GMS</v>
      </c>
      <c r="E17" t="str">
        <f ca="1"/>
        <v>kt</v>
      </c>
      <c r="F17" t="str">
        <f ca="1"/>
        <v>Viande bovine</v>
      </c>
      <c r="G17" t="str">
        <f ca="1"/>
        <v>2015:2019:2023</v>
      </c>
      <c r="H17" t="str">
        <f ca="1"/>
        <v>France entière</v>
      </c>
      <c r="I17" t="str">
        <f ca="1"/>
        <v>Part de viande de veaux consommée en GMS</v>
      </c>
      <c r="J17" t="str">
        <f ca="1"/>
        <v>Utilisation de la répartition de 2022, en tec</v>
      </c>
      <c r="K17" t="str">
        <f ca="1"/>
        <v>Où va le veau ? - Idele</v>
      </c>
      <c r="L17" t="str">
        <f ca="1"/>
        <v>Consommation - IDELE</v>
      </c>
      <c r="M17" t="str">
        <f ca="1"/>
        <v>Répartition</v>
      </c>
      <c r="N17" t="str">
        <f ca="1"/>
        <v>Part de viande de veaux consommée en GMS = 35 % (Où va le veau ? - Idele)</v>
      </c>
      <c r="O17" t="str">
        <f ca="1"/>
        <v>Probable</v>
      </c>
      <c r="P17" t="str">
        <f ca="1"/>
        <v>Données collectées:Données déterminées</v>
      </c>
      <c r="Q17" t="str">
        <f ca="1"/>
        <v>Donnée collectée (valeur du flux ou coefficient)</v>
      </c>
    </row>
    <row r="18" spans="1:17">
      <c r="A18" t="str">
        <v>Viande de veaux</v>
      </c>
      <c r="B18" t="str">
        <v>Boucherie</v>
      </c>
      <c r="E18" t="str">
        <f ca="1"/>
        <v>kt</v>
      </c>
      <c r="F18" t="str">
        <f ca="1"/>
        <v>Viande bovine</v>
      </c>
      <c r="G18" t="str">
        <f ca="1"/>
        <v>2015:2019:2023</v>
      </c>
      <c r="H18" t="str">
        <f ca="1"/>
        <v>France entière</v>
      </c>
      <c r="I18" t="str">
        <f ca="1"/>
        <v>Part de viande de veaux consommée en boucherie</v>
      </c>
      <c r="J18" t="str">
        <f ca="1"/>
        <v>Utilisation de la répartition de 2022, en tec</v>
      </c>
      <c r="K18" t="str">
        <f ca="1"/>
        <v>Où va le veau ? - Idele</v>
      </c>
      <c r="L18" t="str">
        <f ca="1"/>
        <v>Consommation - IDELE</v>
      </c>
      <c r="M18" t="str">
        <f ca="1"/>
        <v>Répartition</v>
      </c>
      <c r="N18" t="str">
        <f ca="1"/>
        <v>Part de viande de veaux consommée en boucherie = 35 % (Où va le veau ? - Idele)</v>
      </c>
      <c r="O18" t="str">
        <f ca="1"/>
        <v>Probable</v>
      </c>
      <c r="P18" t="str">
        <f ca="1"/>
        <v>Données collectées:Données déterminées</v>
      </c>
      <c r="Q18" t="str">
        <f ca="1"/>
        <v>Donnée collectée (valeur du flux ou coefficient)</v>
      </c>
    </row>
    <row r="19" spans="1:17">
      <c r="A19" t="str">
        <v>Viande de veaux</v>
      </c>
      <c r="B19" t="str">
        <v>RHD</v>
      </c>
      <c r="E19" t="str">
        <f ca="1"/>
        <v>kt</v>
      </c>
      <c r="F19" t="str">
        <f ca="1"/>
        <v>Viande bovine</v>
      </c>
      <c r="G19" t="str">
        <f ca="1"/>
        <v>2015:2019:2023</v>
      </c>
      <c r="H19" t="str">
        <f ca="1"/>
        <v>France entière</v>
      </c>
      <c r="I19" t="str">
        <f ca="1"/>
        <v>Part de viande de veaux consommée en RHD</v>
      </c>
      <c r="J19" t="str">
        <f ca="1"/>
        <v>Utilisation de la répartition de 2022, en tec</v>
      </c>
      <c r="K19" t="str">
        <f ca="1"/>
        <v>Où va le veau ? - Idele</v>
      </c>
      <c r="L19" t="str">
        <f ca="1"/>
        <v>Consommation - IDELE</v>
      </c>
      <c r="M19" t="str">
        <f ca="1"/>
        <v>Répartition</v>
      </c>
      <c r="N19" t="str">
        <f ca="1"/>
        <v>Part de viande de veaux consommée en RHD = 25 % (Où va le veau ? - Idele)</v>
      </c>
      <c r="O19" t="str">
        <f ca="1"/>
        <v>Probable</v>
      </c>
      <c r="P19" t="str">
        <f ca="1"/>
        <v>Données collectées:Données déterminées</v>
      </c>
      <c r="Q19" t="str">
        <f ca="1"/>
        <v>Donnée collectée (valeur du flux ou coefficient)</v>
      </c>
    </row>
    <row r="20" spans="1:17">
      <c r="A20" t="str">
        <v>Viande de veaux</v>
      </c>
      <c r="B20" t="str">
        <v>Vente directe et autoconsommation</v>
      </c>
      <c r="E20" t="str">
        <f ca="1"/>
        <v>kt</v>
      </c>
      <c r="F20" t="str">
        <f ca="1"/>
        <v>Viande bovine</v>
      </c>
      <c r="G20" t="str">
        <f ca="1"/>
        <v>2015:2019:2023</v>
      </c>
      <c r="H20" t="str">
        <f ca="1"/>
        <v>France entière</v>
      </c>
      <c r="I20" t="str">
        <f ca="1"/>
        <v>Part de viande de veaux vendue directement ou autoconsommée</v>
      </c>
      <c r="J20" t="str">
        <f ca="1"/>
        <v>Utilisation de la répartition de 2022, en tec</v>
      </c>
      <c r="K20" t="str">
        <f ca="1"/>
        <v>Où va le veau ? - Idele</v>
      </c>
      <c r="L20" t="str">
        <f ca="1"/>
        <v>Consommation - IDELE</v>
      </c>
      <c r="M20" t="str">
        <f ca="1"/>
        <v>Répartition</v>
      </c>
      <c r="N20" t="str">
        <f ca="1"/>
        <v>Part de viande de veaux vendue directement ou autoconsommée = 5 % (Où va le veau ? - Idele)</v>
      </c>
      <c r="O20" t="str">
        <f ca="1"/>
        <v>Probable</v>
      </c>
      <c r="P20" t="str">
        <f ca="1"/>
        <v>Données collectées:Données déterminées</v>
      </c>
      <c r="Q20" t="str">
        <f ca="1"/>
        <v>Donnée collectée (valeur du flux ou coefficient)</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80251-F303-4F7F-80B0-995B90ED33EE}">
  <sheetPr>
    <tabColor rgb="FFFFC000"/>
  </sheetPr>
  <dimension ref="A1:N214"/>
  <sheetViews>
    <sheetView topLeftCell="A199" workbookViewId="0">
      <selection activeCell="P64" sqref="P64:Q64"/>
    </sheetView>
  </sheetViews>
  <sheetFormatPr baseColWidth="10" defaultRowHeight="14.4"/>
  <sheetData>
    <row r="1" spans="1:8">
      <c r="A1" s="101" t="s">
        <v>559</v>
      </c>
    </row>
    <row r="3" spans="1:8">
      <c r="H3" t="s">
        <v>561</v>
      </c>
    </row>
    <row r="4" spans="1:8">
      <c r="G4" t="s">
        <v>470</v>
      </c>
      <c r="H4" s="127">
        <v>0.14000000000000001</v>
      </c>
    </row>
    <row r="5" spans="1:8">
      <c r="G5" t="s">
        <v>26</v>
      </c>
      <c r="H5" s="127">
        <v>0.26</v>
      </c>
    </row>
    <row r="6" spans="1:8">
      <c r="G6" t="s">
        <v>562</v>
      </c>
      <c r="H6" s="127">
        <v>0.12</v>
      </c>
    </row>
    <row r="7" spans="1:8">
      <c r="G7" t="s">
        <v>27</v>
      </c>
      <c r="H7" s="127">
        <v>7.0000000000000007E-2</v>
      </c>
    </row>
    <row r="8" spans="1:8">
      <c r="G8" t="s">
        <v>563</v>
      </c>
      <c r="H8" s="127">
        <v>0.41</v>
      </c>
    </row>
    <row r="9" spans="1:8">
      <c r="H9" s="120"/>
    </row>
    <row r="10" spans="1:8">
      <c r="H10" t="s">
        <v>607</v>
      </c>
    </row>
    <row r="36" spans="13:13">
      <c r="M36" t="s">
        <v>560</v>
      </c>
    </row>
    <row r="37" spans="13:13">
      <c r="M37" s="122">
        <f>326200/1238000</f>
        <v>0.26348949919224557</v>
      </c>
    </row>
    <row r="55" spans="1:14">
      <c r="A55" s="101" t="s">
        <v>564</v>
      </c>
    </row>
    <row r="58" spans="1:14">
      <c r="L58" t="s">
        <v>608</v>
      </c>
      <c r="M58">
        <v>2017</v>
      </c>
      <c r="N58">
        <v>2019</v>
      </c>
    </row>
    <row r="59" spans="1:14">
      <c r="L59" t="s">
        <v>26</v>
      </c>
      <c r="M59" s="121">
        <f>41%/(1-15%)</f>
        <v>0.4823529411764706</v>
      </c>
      <c r="N59" s="121">
        <f>39%/(1-15%)</f>
        <v>0.45882352941176474</v>
      </c>
    </row>
    <row r="60" spans="1:14">
      <c r="L60" t="s">
        <v>562</v>
      </c>
      <c r="M60" s="121">
        <f>10%/(1-15%)</f>
        <v>0.11764705882352942</v>
      </c>
      <c r="N60" s="121">
        <f>9%/(1-15%)</f>
        <v>0.10588235294117647</v>
      </c>
    </row>
    <row r="61" spans="1:14">
      <c r="L61" t="s">
        <v>27</v>
      </c>
      <c r="M61" s="121">
        <f>20%/(1-15%)</f>
        <v>0.23529411764705885</v>
      </c>
      <c r="N61" s="121">
        <f>23%/(1-15%)</f>
        <v>0.27058823529411768</v>
      </c>
    </row>
    <row r="62" spans="1:14">
      <c r="L62" t="s">
        <v>565</v>
      </c>
      <c r="M62" s="121">
        <f>10%/(1-15%)</f>
        <v>0.11764705882352942</v>
      </c>
      <c r="N62" s="121">
        <f>10%/(1-15%)</f>
        <v>0.11764705882352942</v>
      </c>
    </row>
    <row r="63" spans="1:14">
      <c r="L63" t="s">
        <v>25</v>
      </c>
      <c r="M63" s="121">
        <f>4%/(1-15%)</f>
        <v>4.7058823529411764E-2</v>
      </c>
      <c r="N63" s="121">
        <f>4%/(1-15%)</f>
        <v>4.7058823529411764E-2</v>
      </c>
    </row>
    <row r="91" spans="12:12">
      <c r="L91" t="s">
        <v>566</v>
      </c>
    </row>
    <row r="92" spans="12:12">
      <c r="L92" s="122">
        <f>(1540000-1243000)/1243000</f>
        <v>0.23893805309734514</v>
      </c>
    </row>
    <row r="112" spans="1:1">
      <c r="A112" s="101" t="s">
        <v>567</v>
      </c>
    </row>
    <row r="114" spans="7:8">
      <c r="H114" t="s">
        <v>568</v>
      </c>
    </row>
    <row r="115" spans="7:8">
      <c r="G115" t="s">
        <v>26</v>
      </c>
      <c r="H115" s="121">
        <v>0.44</v>
      </c>
    </row>
    <row r="116" spans="7:8">
      <c r="G116" t="s">
        <v>562</v>
      </c>
      <c r="H116" s="121">
        <v>0.122</v>
      </c>
    </row>
    <row r="117" spans="7:8">
      <c r="G117" t="s">
        <v>27</v>
      </c>
      <c r="H117" s="121">
        <v>0.27100000000000002</v>
      </c>
    </row>
    <row r="118" spans="7:8">
      <c r="G118" t="s">
        <v>565</v>
      </c>
      <c r="H118" s="121">
        <v>0.122</v>
      </c>
    </row>
    <row r="119" spans="7:8">
      <c r="G119" t="s">
        <v>25</v>
      </c>
      <c r="H119" s="121">
        <v>4.4999999999999998E-2</v>
      </c>
    </row>
    <row r="136" spans="7:7">
      <c r="G136" t="s">
        <v>569</v>
      </c>
    </row>
    <row r="137" spans="7:7">
      <c r="G137" s="122">
        <v>0.16</v>
      </c>
    </row>
    <row r="160" spans="7:7">
      <c r="G160" t="s">
        <v>570</v>
      </c>
    </row>
    <row r="161" spans="1:7">
      <c r="G161" s="122">
        <f>305000/1197000</f>
        <v>0.25480367585630742</v>
      </c>
    </row>
    <row r="175" spans="1:7">
      <c r="A175" s="101" t="s">
        <v>571</v>
      </c>
    </row>
    <row r="180" spans="6:7">
      <c r="G180" t="s">
        <v>573</v>
      </c>
    </row>
    <row r="181" spans="6:7">
      <c r="F181" t="s">
        <v>26</v>
      </c>
      <c r="G181" s="121">
        <v>0.35</v>
      </c>
    </row>
    <row r="182" spans="6:7">
      <c r="F182" t="s">
        <v>562</v>
      </c>
      <c r="G182" s="121">
        <v>0.35</v>
      </c>
    </row>
    <row r="183" spans="6:7">
      <c r="F183" t="s">
        <v>27</v>
      </c>
      <c r="G183" s="121">
        <v>0.25</v>
      </c>
    </row>
    <row r="184" spans="6:7">
      <c r="F184" t="s">
        <v>25</v>
      </c>
      <c r="G184" s="121">
        <v>0.05</v>
      </c>
    </row>
    <row r="213" spans="7:8">
      <c r="G213" t="s">
        <v>572</v>
      </c>
    </row>
    <row r="214" spans="7:8">
      <c r="G214" s="122">
        <f>41/164</f>
        <v>0.25</v>
      </c>
      <c r="H214" s="123"/>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CD40-429D-48C0-9C05-E9337372BEBC}">
  <sheetPr>
    <tabColor rgb="FF92D050"/>
  </sheetPr>
  <dimension ref="A1:U11"/>
  <sheetViews>
    <sheetView workbookViewId="0">
      <pane xSplit="3" ySplit="1" topLeftCell="D2" activePane="bottomRight" state="frozen"/>
      <selection pane="topRight" activeCell="D1" sqref="D1"/>
      <selection pane="bottomLeft" activeCell="A2" sqref="A2"/>
      <selection pane="bottomRight" activeCell="R15" sqref="R15"/>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9" width="14.44140625" style="28" customWidth="1"/>
    <col min="20" max="20" width="14.33203125" style="10" customWidth="1"/>
    <col min="21" max="21" width="13.109375" customWidth="1"/>
  </cols>
  <sheetData>
    <row r="1" spans="1:21" ht="76.2" thickBot="1">
      <c r="A1" s="23" t="s">
        <v>39</v>
      </c>
      <c r="B1" s="24" t="s">
        <v>30</v>
      </c>
      <c r="C1" s="24" t="s">
        <v>31</v>
      </c>
      <c r="D1" s="24" t="s">
        <v>40</v>
      </c>
      <c r="E1" s="24" t="s">
        <v>41</v>
      </c>
      <c r="F1" s="24" t="s">
        <v>42</v>
      </c>
      <c r="G1" s="25" t="str">
        <f>Etiquettes!$A$7</f>
        <v>Unité</v>
      </c>
      <c r="H1" s="25" t="str">
        <f>Etiquettes!$A$4</f>
        <v>Filière</v>
      </c>
      <c r="I1" s="25" t="str">
        <f>Etiquettes!$A$6</f>
        <v>Année</v>
      </c>
      <c r="J1" s="25" t="str">
        <f>Etiquettes!$A$5</f>
        <v>Territoire</v>
      </c>
      <c r="K1" s="25" t="str">
        <f>Etiquettes!$A$12</f>
        <v>Traduction</v>
      </c>
      <c r="L1" s="25" t="str">
        <f>Etiquettes!$A$10</f>
        <v>Hypothèse</v>
      </c>
      <c r="M1" s="25" t="str">
        <f>Etiquettes!$A$9</f>
        <v>Source</v>
      </c>
      <c r="N1" s="25" t="str">
        <f>Etiquettes!$A$13</f>
        <v>Onglet source fichier Excel</v>
      </c>
      <c r="O1" s="25" t="str">
        <f>Etiquettes!$A$11</f>
        <v>Type de donnée collectée</v>
      </c>
      <c r="P1" s="25" t="str">
        <f>Etiquettes!$A$8</f>
        <v>Information collectée</v>
      </c>
      <c r="Q1" s="25" t="str">
        <f>Etiquettes!$A$15</f>
        <v>Fiabilité des données</v>
      </c>
      <c r="R1" s="25" t="str">
        <f>Etiquettes!$A$16</f>
        <v>Méthode</v>
      </c>
      <c r="S1" s="25" t="str">
        <f>Etiquettes!$A$17</f>
        <v>Analyse des résultats</v>
      </c>
      <c r="T1" s="24" t="s">
        <v>3</v>
      </c>
      <c r="U1" s="26" t="s">
        <v>5</v>
      </c>
    </row>
    <row r="2" spans="1:21">
      <c r="A2" s="10">
        <f>'Contraintes  '!A58+1</f>
        <v>40</v>
      </c>
      <c r="B2" t="str">
        <f>Produits!$B$12</f>
        <v>Abats</v>
      </c>
      <c r="C2" t="str">
        <f>Secteurs!$B$10</f>
        <v>Débouchés</v>
      </c>
      <c r="D2" s="29">
        <f>'Débouchés abats - Blézat'!M15</f>
        <v>0.703125</v>
      </c>
      <c r="G2" s="27" t="str">
        <f>Etiquettes!$C$7</f>
        <v>kt</v>
      </c>
      <c r="H2" s="111" t="str">
        <f>Etiquettes!$C$4</f>
        <v>Viande bovine</v>
      </c>
      <c r="I2" s="27" t="str">
        <f>Etiquettes!$C$6</f>
        <v>2015:2019:2023</v>
      </c>
      <c r="J2" s="27" t="str">
        <f>Etiquettes!$C$5</f>
        <v>France entière</v>
      </c>
      <c r="M2"/>
      <c r="R2" s="27"/>
      <c r="S2" s="27"/>
      <c r="U2" s="220" t="s">
        <v>601</v>
      </c>
    </row>
    <row r="3" spans="1:21">
      <c r="A3" s="10">
        <f>'Contraintes  '!A59+1</f>
        <v>40</v>
      </c>
      <c r="B3" t="str">
        <f>Produits!$B$12</f>
        <v>Abats</v>
      </c>
      <c r="C3" t="str">
        <f>Secteurs!$B$23</f>
        <v>Petfood</v>
      </c>
      <c r="D3">
        <v>-1</v>
      </c>
      <c r="G3" s="27" t="str">
        <f>Etiquettes!$C$7</f>
        <v>kt</v>
      </c>
      <c r="H3" s="111" t="str">
        <f>Etiquettes!$C$4</f>
        <v>Viande bovine</v>
      </c>
      <c r="I3" s="27" t="str">
        <f>Etiquettes!$C$6</f>
        <v>2015:2019:2023</v>
      </c>
      <c r="J3" s="27" t="str">
        <f>Etiquettes!$C$5</f>
        <v>France entière</v>
      </c>
      <c r="K3" s="38" t="s">
        <v>595</v>
      </c>
      <c r="L3" s="38" t="s">
        <v>600</v>
      </c>
      <c r="M3" t="s">
        <v>455</v>
      </c>
      <c r="N3" s="38" t="str" cm="1">
        <f t="array" aca="1" ref="N3" ca="1">[1]!NOM_FEUILLE('Débouchés abats - Blézat'!$J$1)</f>
        <v>Débouchés abats - Blézat</v>
      </c>
      <c r="O3" s="38" t="str">
        <f>Etiquettes!$J$11</f>
        <v>Répartition</v>
      </c>
      <c r="P3" t="str">
        <f t="shared" ref="P3" si="0">_xlfn.CONCAT(K3," = ",MROUND(D2*100,0.01)," % (",M3,")")</f>
        <v>Part d'abats consommée en Petfood = 70,31 % (Blézat)</v>
      </c>
      <c r="Q3" s="10" t="str">
        <f>Etiquettes!$K$15</f>
        <v>Approximative</v>
      </c>
      <c r="R3" s="112" t="s">
        <v>664</v>
      </c>
      <c r="S3" s="111" t="str">
        <f>Etiquettes!$H$17</f>
        <v>Donnée collectée (valeur du flux ou coefficient)</v>
      </c>
      <c r="U3" s="205"/>
    </row>
    <row r="4" spans="1:21">
      <c r="A4" s="10">
        <f t="shared" ref="A4:A11" si="1">A2+1</f>
        <v>41</v>
      </c>
      <c r="B4" t="str">
        <f>Produits!$B$12</f>
        <v>Abats</v>
      </c>
      <c r="C4" t="str">
        <f>Secteurs!$B$10</f>
        <v>Débouchés</v>
      </c>
      <c r="D4" s="29">
        <f>'Débouchés abats - Blézat'!M16</f>
        <v>0.14583333333333334</v>
      </c>
      <c r="G4" s="27" t="str">
        <f>Etiquettes!$C$7</f>
        <v>kt</v>
      </c>
      <c r="H4" s="111" t="str">
        <f>Etiquettes!$C$4</f>
        <v>Viande bovine</v>
      </c>
      <c r="I4" s="27" t="str">
        <f>Etiquettes!$C$6</f>
        <v>2015:2019:2023</v>
      </c>
      <c r="J4" s="27" t="str">
        <f>Etiquettes!$C$5</f>
        <v>France entière</v>
      </c>
      <c r="M4"/>
      <c r="R4" s="27"/>
      <c r="S4" s="27"/>
      <c r="U4" s="205"/>
    </row>
    <row r="5" spans="1:21">
      <c r="A5" s="10">
        <f t="shared" si="1"/>
        <v>41</v>
      </c>
      <c r="B5" t="str">
        <f>Produits!$B$12</f>
        <v>Abats</v>
      </c>
      <c r="C5" t="str">
        <f>Secteurs!$B$18</f>
        <v>GMS</v>
      </c>
      <c r="D5">
        <v>-1</v>
      </c>
      <c r="G5" s="27" t="str">
        <f>Etiquettes!$C$7</f>
        <v>kt</v>
      </c>
      <c r="H5" s="111" t="str">
        <f>Etiquettes!$C$4</f>
        <v>Viande bovine</v>
      </c>
      <c r="I5" s="27" t="str">
        <f>Etiquettes!$C$6</f>
        <v>2015:2019:2023</v>
      </c>
      <c r="J5" s="27" t="str">
        <f>Etiquettes!$C$5</f>
        <v>France entière</v>
      </c>
      <c r="K5" s="38" t="s">
        <v>596</v>
      </c>
      <c r="L5" s="38" t="s">
        <v>600</v>
      </c>
      <c r="M5" t="s">
        <v>455</v>
      </c>
      <c r="N5" s="38" t="str" cm="1">
        <f t="array" aca="1" ref="N5" ca="1">[1]!NOM_FEUILLE('Débouchés abats - Blézat'!$J$1)</f>
        <v>Débouchés abats - Blézat</v>
      </c>
      <c r="O5" s="38" t="str">
        <f>Etiquettes!$J$11</f>
        <v>Répartition</v>
      </c>
      <c r="P5" t="str">
        <f t="shared" ref="P5" si="2">_xlfn.CONCAT(K5," = ",MROUND(D4*100,0.01)," % (",M5,")")</f>
        <v>Part d'abats consommée en GMS = 14,58 % (Blézat)</v>
      </c>
      <c r="Q5" s="10" t="str">
        <f>Etiquettes!$K$15</f>
        <v>Approximative</v>
      </c>
      <c r="R5" s="112" t="s">
        <v>664</v>
      </c>
      <c r="S5" s="111" t="str">
        <f>Etiquettes!$H$17</f>
        <v>Donnée collectée (valeur du flux ou coefficient)</v>
      </c>
      <c r="U5" s="205"/>
    </row>
    <row r="6" spans="1:21">
      <c r="A6" s="10">
        <f t="shared" si="1"/>
        <v>42</v>
      </c>
      <c r="B6" t="str">
        <f>Produits!$B$12</f>
        <v>Abats</v>
      </c>
      <c r="C6" t="str">
        <f>Secteurs!$B$10</f>
        <v>Débouchés</v>
      </c>
      <c r="D6" s="29">
        <f>'Débouchés abats - Blézat'!M17</f>
        <v>7.8125E-2</v>
      </c>
      <c r="G6" s="27" t="str">
        <f>Etiquettes!$C$7</f>
        <v>kt</v>
      </c>
      <c r="H6" s="111" t="str">
        <f>Etiquettes!$C$4</f>
        <v>Viande bovine</v>
      </c>
      <c r="I6" s="27" t="str">
        <f>Etiquettes!$C$6</f>
        <v>2015:2019:2023</v>
      </c>
      <c r="J6" s="27" t="str">
        <f>Etiquettes!$C$5</f>
        <v>France entière</v>
      </c>
      <c r="M6"/>
      <c r="R6" s="27"/>
      <c r="S6" s="27"/>
      <c r="U6" s="205"/>
    </row>
    <row r="7" spans="1:21">
      <c r="A7" s="10">
        <f t="shared" si="1"/>
        <v>42</v>
      </c>
      <c r="B7" t="str">
        <f>Produits!$B$12</f>
        <v>Abats</v>
      </c>
      <c r="C7" t="str">
        <f>Secteurs!$B$20</f>
        <v>Autres IAA</v>
      </c>
      <c r="D7">
        <v>-1</v>
      </c>
      <c r="G7" s="27" t="str">
        <f>Etiquettes!$C$7</f>
        <v>kt</v>
      </c>
      <c r="H7" s="111" t="str">
        <f>Etiquettes!$C$4</f>
        <v>Viande bovine</v>
      </c>
      <c r="I7" s="27" t="str">
        <f>Etiquettes!$C$6</f>
        <v>2015:2019:2023</v>
      </c>
      <c r="J7" s="27" t="str">
        <f>Etiquettes!$C$5</f>
        <v>France entière</v>
      </c>
      <c r="K7" s="38" t="s">
        <v>597</v>
      </c>
      <c r="L7" s="38" t="s">
        <v>600</v>
      </c>
      <c r="M7" t="s">
        <v>455</v>
      </c>
      <c r="N7" s="38" t="str" cm="1">
        <f t="array" aca="1" ref="N7" ca="1">[1]!NOM_FEUILLE('Débouchés abats - Blézat'!$J$1)</f>
        <v>Débouchés abats - Blézat</v>
      </c>
      <c r="O7" s="38" t="str">
        <f>Etiquettes!$J$11</f>
        <v>Répartition</v>
      </c>
      <c r="P7" t="str">
        <f t="shared" ref="P7" si="3">_xlfn.CONCAT(K7," = ",MROUND(D6*100,0.01)," % (",M7,")")</f>
        <v>Part d'abats consommée par les autres IAA = 7,81 % (Blézat)</v>
      </c>
      <c r="Q7" s="10" t="str">
        <f>Etiquettes!$K$15</f>
        <v>Approximative</v>
      </c>
      <c r="R7" s="112" t="s">
        <v>664</v>
      </c>
      <c r="S7" s="111" t="str">
        <f>Etiquettes!$H$17</f>
        <v>Donnée collectée (valeur du flux ou coefficient)</v>
      </c>
      <c r="U7" s="205"/>
    </row>
    <row r="8" spans="1:21">
      <c r="A8" s="10">
        <f t="shared" si="1"/>
        <v>43</v>
      </c>
      <c r="B8" t="str">
        <f>Produits!$B$12</f>
        <v>Abats</v>
      </c>
      <c r="C8" t="str">
        <f>Secteurs!$B$10</f>
        <v>Débouchés</v>
      </c>
      <c r="D8" s="29">
        <f>'Débouchés abats - Blézat'!M18</f>
        <v>3.6458333333333336E-2</v>
      </c>
      <c r="G8" s="27" t="str">
        <f>Etiquettes!$C$7</f>
        <v>kt</v>
      </c>
      <c r="H8" s="111" t="str">
        <f>Etiquettes!$C$4</f>
        <v>Viande bovine</v>
      </c>
      <c r="I8" s="27" t="str">
        <f>Etiquettes!$C$6</f>
        <v>2015:2019:2023</v>
      </c>
      <c r="J8" s="27" t="str">
        <f>Etiquettes!$C$5</f>
        <v>France entière</v>
      </c>
      <c r="M8"/>
      <c r="U8" s="205"/>
    </row>
    <row r="9" spans="1:21">
      <c r="A9" s="10">
        <f t="shared" si="1"/>
        <v>43</v>
      </c>
      <c r="B9" t="str">
        <f>Produits!$B$12</f>
        <v>Abats</v>
      </c>
      <c r="C9" t="str">
        <f>Secteurs!$B$16</f>
        <v>Boucherie</v>
      </c>
      <c r="D9">
        <v>-1</v>
      </c>
      <c r="G9" s="27" t="str">
        <f>Etiquettes!$C$7</f>
        <v>kt</v>
      </c>
      <c r="H9" s="111" t="str">
        <f>Etiquettes!$C$4</f>
        <v>Viande bovine</v>
      </c>
      <c r="I9" s="27" t="str">
        <f>Etiquettes!$C$6</f>
        <v>2015:2019:2023</v>
      </c>
      <c r="J9" s="27" t="str">
        <f>Etiquettes!$C$5</f>
        <v>France entière</v>
      </c>
      <c r="K9" s="38" t="s">
        <v>598</v>
      </c>
      <c r="L9" s="38" t="s">
        <v>600</v>
      </c>
      <c r="M9" t="s">
        <v>455</v>
      </c>
      <c r="N9" s="38" t="str" cm="1">
        <f t="array" aca="1" ref="N9" ca="1">[1]!NOM_FEUILLE('Débouchés abats - Blézat'!$J$1)</f>
        <v>Débouchés abats - Blézat</v>
      </c>
      <c r="O9" s="38" t="str">
        <f>Etiquettes!$J$11</f>
        <v>Répartition</v>
      </c>
      <c r="P9" t="str">
        <f t="shared" ref="P9" si="4">_xlfn.CONCAT(K9," = ",MROUND(D8*100,0.01)," % (",M9,")")</f>
        <v>Part d'abats consommée en boucherie = 3,65 % (Blézat)</v>
      </c>
      <c r="Q9" s="10" t="str">
        <f>Etiquettes!$K$15</f>
        <v>Approximative</v>
      </c>
      <c r="R9" s="112" t="s">
        <v>664</v>
      </c>
      <c r="S9" s="111" t="str">
        <f>Etiquettes!$H$17</f>
        <v>Donnée collectée (valeur du flux ou coefficient)</v>
      </c>
      <c r="U9" s="205"/>
    </row>
    <row r="10" spans="1:21">
      <c r="A10" s="10">
        <f t="shared" si="1"/>
        <v>44</v>
      </c>
      <c r="B10" t="str">
        <f>Produits!$B$12</f>
        <v>Abats</v>
      </c>
      <c r="C10" t="str">
        <f>Secteurs!$B$10</f>
        <v>Débouchés</v>
      </c>
      <c r="D10" s="29">
        <f>'Débouchés abats - Blézat'!M19</f>
        <v>3.6458333333333336E-2</v>
      </c>
      <c r="G10" s="27" t="str">
        <f>Etiquettes!$C$7</f>
        <v>kt</v>
      </c>
      <c r="H10" s="111" t="str">
        <f>Etiquettes!$C$4</f>
        <v>Viande bovine</v>
      </c>
      <c r="I10" s="27" t="str">
        <f>Etiquettes!$C$6</f>
        <v>2015:2019:2023</v>
      </c>
      <c r="J10" s="27" t="str">
        <f>Etiquettes!$C$5</f>
        <v>France entière</v>
      </c>
      <c r="M10"/>
      <c r="U10" s="205"/>
    </row>
    <row r="11" spans="1:21">
      <c r="A11" s="10">
        <f t="shared" si="1"/>
        <v>44</v>
      </c>
      <c r="B11" t="str">
        <f>Produits!$B$12</f>
        <v>Abats</v>
      </c>
      <c r="C11" t="str">
        <f>Secteurs!$B$19</f>
        <v>RHD</v>
      </c>
      <c r="D11">
        <v>-1</v>
      </c>
      <c r="G11" s="27" t="str">
        <f>Etiquettes!$C$7</f>
        <v>kt</v>
      </c>
      <c r="H11" s="111" t="str">
        <f>Etiquettes!$C$4</f>
        <v>Viande bovine</v>
      </c>
      <c r="I11" s="27" t="str">
        <f>Etiquettes!$C$6</f>
        <v>2015:2019:2023</v>
      </c>
      <c r="J11" s="27" t="str">
        <f>Etiquettes!$C$5</f>
        <v>France entière</v>
      </c>
      <c r="K11" s="38" t="s">
        <v>599</v>
      </c>
      <c r="L11" s="38" t="s">
        <v>600</v>
      </c>
      <c r="M11" t="s">
        <v>455</v>
      </c>
      <c r="N11" s="38" t="str" cm="1">
        <f t="array" aca="1" ref="N11" ca="1">[1]!NOM_FEUILLE('Débouchés abats - Blézat'!$J$1)</f>
        <v>Débouchés abats - Blézat</v>
      </c>
      <c r="O11" s="38" t="str">
        <f>Etiquettes!$J$11</f>
        <v>Répartition</v>
      </c>
      <c r="P11" t="str">
        <f t="shared" ref="P11" si="5">_xlfn.CONCAT(K11," = ",MROUND(D10*100,0.01)," % (",M11,")")</f>
        <v>Part d'abats consommée en RHD = 3,65 % (Blézat)</v>
      </c>
      <c r="Q11" s="10" t="str">
        <f>Etiquettes!$K$15</f>
        <v>Approximative</v>
      </c>
      <c r="R11" s="112" t="s">
        <v>664</v>
      </c>
      <c r="S11" s="111" t="str">
        <f>Etiquettes!$H$17</f>
        <v>Donnée collectée (valeur du flux ou coefficient)</v>
      </c>
      <c r="U11" s="205"/>
    </row>
  </sheetData>
  <mergeCells count="1">
    <mergeCell ref="U2:U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ABC29-37FD-4370-B962-EA93C73E9DD7}">
  <sheetPr>
    <tabColor theme="1"/>
  </sheetPr>
  <dimension ref="A1:Q6"/>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124" t="s">
        <v>30</v>
      </c>
      <c r="B1" s="125" t="s">
        <v>31</v>
      </c>
      <c r="C1" s="125" t="s">
        <v>32</v>
      </c>
      <c r="D1" s="125" t="s">
        <v>34</v>
      </c>
      <c r="E1" t="str" cm="1">
        <f t="array" aca="1" ref="E1:Q6"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Information collectée</v>
      </c>
      <c r="O1" t="str">
        <f ca="1"/>
        <v>Fiabilité des données</v>
      </c>
      <c r="P1" t="str">
        <f ca="1"/>
        <v>Méthode</v>
      </c>
      <c r="Q1" t="str">
        <f ca="1"/>
        <v>Analyse des résultats</v>
      </c>
    </row>
    <row r="2" spans="1:17">
      <c r="A2" t="str" cm="1">
        <f t="array" ref="A2:B6">_xlfn._xlws.FILTER('Contraintes   '!B2:C200,ISTEXT('Contraintes   '!P2:P200))</f>
        <v>Abats</v>
      </c>
      <c r="B2" t="str">
        <v>Petfood</v>
      </c>
      <c r="E2" t="str">
        <f ca="1"/>
        <v>kt</v>
      </c>
      <c r="F2" t="str">
        <f ca="1"/>
        <v>Viande bovine</v>
      </c>
      <c r="G2" t="str">
        <f ca="1"/>
        <v>2015:2019:2023</v>
      </c>
      <c r="H2" t="str">
        <f ca="1"/>
        <v>France entière</v>
      </c>
      <c r="I2" t="str">
        <f ca="1"/>
        <v>Part d'abats consommée en Petfood</v>
      </c>
      <c r="J2" t="str">
        <f ca="1"/>
        <v>Utilisation de la répartition de 2011</v>
      </c>
      <c r="K2" t="str">
        <f ca="1"/>
        <v>Blézat</v>
      </c>
      <c r="L2" t="str">
        <f ca="1"/>
        <v>Débouchés abats - Blézat</v>
      </c>
      <c r="M2" t="str">
        <f ca="1"/>
        <v>Répartition</v>
      </c>
      <c r="N2" t="str">
        <f ca="1"/>
        <v>Part d'abats consommée en Petfood = 70,31 % (Blézat)</v>
      </c>
      <c r="O2" t="str">
        <f ca="1"/>
        <v>Approximative</v>
      </c>
      <c r="P2" t="str">
        <f ca="1"/>
        <v>Données collectées:Données déterminées</v>
      </c>
      <c r="Q2" t="str">
        <f ca="1"/>
        <v>Donnée collectée (valeur du flux ou coefficient)</v>
      </c>
    </row>
    <row r="3" spans="1:17">
      <c r="A3" t="str">
        <v>Abats</v>
      </c>
      <c r="B3" t="str">
        <v>GMS</v>
      </c>
      <c r="E3" t="str">
        <f ca="1"/>
        <v>kt</v>
      </c>
      <c r="F3" t="str">
        <f ca="1"/>
        <v>Viande bovine</v>
      </c>
      <c r="G3" t="str">
        <f ca="1"/>
        <v>2015:2019:2023</v>
      </c>
      <c r="H3" t="str">
        <f ca="1"/>
        <v>France entière</v>
      </c>
      <c r="I3" t="str">
        <f ca="1"/>
        <v>Part d'abats consommée en GMS</v>
      </c>
      <c r="J3" t="str">
        <f ca="1"/>
        <v>Utilisation de la répartition de 2011</v>
      </c>
      <c r="K3" t="str">
        <f ca="1"/>
        <v>Blézat</v>
      </c>
      <c r="L3" t="str">
        <f ca="1"/>
        <v>Débouchés abats - Blézat</v>
      </c>
      <c r="M3" t="str">
        <f ca="1"/>
        <v>Répartition</v>
      </c>
      <c r="N3" t="str">
        <f ca="1"/>
        <v>Part d'abats consommée en GMS = 14,58 % (Blézat)</v>
      </c>
      <c r="O3" t="str">
        <f ca="1"/>
        <v>Approximative</v>
      </c>
      <c r="P3" t="str">
        <f ca="1"/>
        <v>Données collectées:Données déterminées</v>
      </c>
      <c r="Q3" t="str">
        <f ca="1"/>
        <v>Donnée collectée (valeur du flux ou coefficient)</v>
      </c>
    </row>
    <row r="4" spans="1:17">
      <c r="A4" t="str">
        <v>Abats</v>
      </c>
      <c r="B4" t="str">
        <v>Autres IAA</v>
      </c>
      <c r="E4" t="str">
        <f ca="1"/>
        <v>kt</v>
      </c>
      <c r="F4" t="str">
        <f ca="1"/>
        <v>Viande bovine</v>
      </c>
      <c r="G4" t="str">
        <f ca="1"/>
        <v>2015:2019:2023</v>
      </c>
      <c r="H4" t="str">
        <f ca="1"/>
        <v>France entière</v>
      </c>
      <c r="I4" t="str">
        <f ca="1"/>
        <v>Part d'abats consommée par les autres IAA</v>
      </c>
      <c r="J4" t="str">
        <f ca="1"/>
        <v>Utilisation de la répartition de 2011</v>
      </c>
      <c r="K4" t="str">
        <f ca="1"/>
        <v>Blézat</v>
      </c>
      <c r="L4" t="str">
        <f ca="1"/>
        <v>Débouchés abats - Blézat</v>
      </c>
      <c r="M4" t="str">
        <f ca="1"/>
        <v>Répartition</v>
      </c>
      <c r="N4" t="str">
        <f ca="1"/>
        <v>Part d'abats consommée par les autres IAA = 7,81 % (Blézat)</v>
      </c>
      <c r="O4" t="str">
        <f ca="1"/>
        <v>Approximative</v>
      </c>
      <c r="P4" t="str">
        <f ca="1"/>
        <v>Données collectées:Données déterminées</v>
      </c>
      <c r="Q4" t="str">
        <f ca="1"/>
        <v>Donnée collectée (valeur du flux ou coefficient)</v>
      </c>
    </row>
    <row r="5" spans="1:17">
      <c r="A5" t="str">
        <v>Abats</v>
      </c>
      <c r="B5" t="str">
        <v>Boucherie</v>
      </c>
      <c r="E5" t="str">
        <f ca="1"/>
        <v>kt</v>
      </c>
      <c r="F5" t="str">
        <f ca="1"/>
        <v>Viande bovine</v>
      </c>
      <c r="G5" t="str">
        <f ca="1"/>
        <v>2015:2019:2023</v>
      </c>
      <c r="H5" t="str">
        <f ca="1"/>
        <v>France entière</v>
      </c>
      <c r="I5" t="str">
        <f ca="1"/>
        <v>Part d'abats consommée en boucherie</v>
      </c>
      <c r="J5" t="str">
        <f ca="1"/>
        <v>Utilisation de la répartition de 2011</v>
      </c>
      <c r="K5" t="str">
        <f ca="1"/>
        <v>Blézat</v>
      </c>
      <c r="L5" t="str">
        <f ca="1"/>
        <v>Débouchés abats - Blézat</v>
      </c>
      <c r="M5" t="str">
        <f ca="1"/>
        <v>Répartition</v>
      </c>
      <c r="N5" t="str">
        <f ca="1"/>
        <v>Part d'abats consommée en boucherie = 3,65 % (Blézat)</v>
      </c>
      <c r="O5" t="str">
        <f ca="1"/>
        <v>Approximative</v>
      </c>
      <c r="P5" t="str">
        <f ca="1"/>
        <v>Données collectées:Données déterminées</v>
      </c>
      <c r="Q5" t="str">
        <f ca="1"/>
        <v>Donnée collectée (valeur du flux ou coefficient)</v>
      </c>
    </row>
    <row r="6" spans="1:17">
      <c r="A6" t="str">
        <v>Abats</v>
      </c>
      <c r="B6" t="str">
        <v>RHD</v>
      </c>
      <c r="E6" t="str">
        <f ca="1"/>
        <v>kt</v>
      </c>
      <c r="F6" t="str">
        <f ca="1"/>
        <v>Viande bovine</v>
      </c>
      <c r="G6" t="str">
        <f ca="1"/>
        <v>2015:2019:2023</v>
      </c>
      <c r="H6" t="str">
        <f ca="1"/>
        <v>France entière</v>
      </c>
      <c r="I6" t="str">
        <f ca="1"/>
        <v>Part d'abats consommée en RHD</v>
      </c>
      <c r="J6" t="str">
        <f ca="1"/>
        <v>Utilisation de la répartition de 2011</v>
      </c>
      <c r="K6" t="str">
        <f ca="1"/>
        <v>Blézat</v>
      </c>
      <c r="L6" t="str">
        <f ca="1"/>
        <v>Débouchés abats - Blézat</v>
      </c>
      <c r="M6" t="str">
        <f ca="1"/>
        <v>Répartition</v>
      </c>
      <c r="N6" t="str">
        <f ca="1"/>
        <v>Part d'abats consommée en RHD = 3,65 % (Blézat)</v>
      </c>
      <c r="O6" t="str">
        <f ca="1"/>
        <v>Approximative</v>
      </c>
      <c r="P6" t="str">
        <f ca="1"/>
        <v>Données collectées:Données déterminées</v>
      </c>
      <c r="Q6" t="str">
        <f ca="1"/>
        <v>Donnée collectée (valeur du flux ou coefficient)</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K14:M20"/>
  <sheetViews>
    <sheetView workbookViewId="0">
      <selection activeCell="P23" sqref="P23"/>
    </sheetView>
  </sheetViews>
  <sheetFormatPr baseColWidth="10" defaultRowHeight="14.4"/>
  <sheetData>
    <row r="14" spans="11:13">
      <c r="K14" t="s">
        <v>594</v>
      </c>
      <c r="L14" t="s">
        <v>592</v>
      </c>
      <c r="M14" t="s">
        <v>593</v>
      </c>
    </row>
    <row r="15" spans="11:13">
      <c r="K15" t="s">
        <v>85</v>
      </c>
      <c r="L15">
        <f>100+35</f>
        <v>135</v>
      </c>
      <c r="M15" s="113">
        <f>L15/$L$20</f>
        <v>0.703125</v>
      </c>
    </row>
    <row r="16" spans="11:13">
      <c r="K16" t="s">
        <v>26</v>
      </c>
      <c r="L16">
        <v>28</v>
      </c>
      <c r="M16" s="113">
        <f t="shared" ref="M16:M19" si="0">L16/$L$20</f>
        <v>0.14583333333333334</v>
      </c>
    </row>
    <row r="17" spans="11:13">
      <c r="K17" t="s">
        <v>83</v>
      </c>
      <c r="L17">
        <v>15</v>
      </c>
      <c r="M17" s="113">
        <f t="shared" si="0"/>
        <v>7.8125E-2</v>
      </c>
    </row>
    <row r="18" spans="11:13">
      <c r="K18" t="s">
        <v>562</v>
      </c>
      <c r="L18">
        <v>7</v>
      </c>
      <c r="M18" s="113">
        <f t="shared" si="0"/>
        <v>3.6458333333333336E-2</v>
      </c>
    </row>
    <row r="19" spans="11:13">
      <c r="K19" t="s">
        <v>27</v>
      </c>
      <c r="L19">
        <v>7</v>
      </c>
      <c r="M19" s="113">
        <f t="shared" si="0"/>
        <v>3.6458333333333336E-2</v>
      </c>
    </row>
    <row r="20" spans="11:13">
      <c r="L20">
        <f>SUM(L14:L19)</f>
        <v>192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FD38C-D6AB-4340-B2F5-96E756B8C970}">
  <sheetPr>
    <tabColor rgb="FFD7D200"/>
  </sheetPr>
  <dimension ref="A1:AMJ127"/>
  <sheetViews>
    <sheetView workbookViewId="0">
      <selection activeCell="B13" sqref="B13"/>
    </sheetView>
  </sheetViews>
  <sheetFormatPr baseColWidth="10" defaultColWidth="9.109375" defaultRowHeight="14.4"/>
  <cols>
    <col min="1" max="1" width="22.33203125" style="161" customWidth="1"/>
    <col min="2" max="2" width="16.5546875" style="161" customWidth="1"/>
    <col min="3" max="1024" width="9.109375" style="161"/>
    <col min="1025" max="16384" width="9.109375" style="163"/>
  </cols>
  <sheetData>
    <row r="1" spans="1:21" s="179" customFormat="1" ht="19.95" customHeight="1">
      <c r="A1" s="178" t="s">
        <v>678</v>
      </c>
    </row>
    <row r="2" spans="1:21">
      <c r="B2" s="180"/>
      <c r="C2" s="180"/>
      <c r="D2" s="180"/>
      <c r="E2" s="180"/>
      <c r="F2" s="180"/>
      <c r="G2" s="180"/>
      <c r="H2" s="180"/>
      <c r="N2" s="181"/>
      <c r="P2" s="162"/>
      <c r="Q2" s="162"/>
      <c r="R2" s="162"/>
      <c r="S2" s="162"/>
      <c r="T2" s="162"/>
      <c r="U2" s="162"/>
    </row>
    <row r="3" spans="1:21" ht="14.85" customHeight="1">
      <c r="A3" s="180" t="s">
        <v>701</v>
      </c>
      <c r="N3" s="181"/>
      <c r="P3" s="162"/>
      <c r="Q3" s="162"/>
      <c r="R3" s="162"/>
      <c r="S3" s="162"/>
      <c r="T3" s="162"/>
      <c r="U3" s="162"/>
    </row>
    <row r="4" spans="1:21" ht="13.95" customHeight="1">
      <c r="A4" s="180" t="s">
        <v>702</v>
      </c>
      <c r="P4" s="162"/>
      <c r="Q4" s="162"/>
      <c r="R4" s="162"/>
      <c r="S4" s="162"/>
      <c r="T4" s="162"/>
      <c r="U4" s="162"/>
    </row>
    <row r="5" spans="1:21" ht="13.95" customHeight="1">
      <c r="A5" s="180"/>
      <c r="P5" s="162"/>
      <c r="Q5" s="162"/>
      <c r="R5" s="162"/>
      <c r="S5" s="162"/>
      <c r="T5" s="162"/>
      <c r="U5" s="162"/>
    </row>
    <row r="6" spans="1:21" ht="13.95" customHeight="1">
      <c r="A6" s="182" t="s">
        <v>703</v>
      </c>
      <c r="B6" s="183"/>
      <c r="C6" s="183"/>
      <c r="D6" s="183"/>
      <c r="E6" s="183"/>
      <c r="F6" s="183"/>
      <c r="G6" s="183"/>
      <c r="H6" s="183"/>
      <c r="I6" s="183"/>
      <c r="J6" s="183"/>
      <c r="K6" s="183"/>
      <c r="L6" s="183"/>
      <c r="M6" s="183"/>
      <c r="N6" s="183"/>
      <c r="O6" s="183"/>
      <c r="P6" s="183"/>
      <c r="Q6" s="183"/>
      <c r="R6" s="183"/>
      <c r="S6" s="183"/>
      <c r="T6" s="162"/>
      <c r="U6" s="162"/>
    </row>
    <row r="7" spans="1:21" ht="13.95" customHeight="1">
      <c r="A7" s="184"/>
      <c r="B7" s="184"/>
      <c r="C7" s="184"/>
      <c r="D7" s="184"/>
      <c r="E7" s="184"/>
      <c r="F7" s="184"/>
      <c r="G7" s="184"/>
      <c r="H7" s="184"/>
      <c r="I7" s="184"/>
      <c r="J7" s="184"/>
      <c r="K7" s="184"/>
      <c r="L7" s="184"/>
      <c r="M7" s="184"/>
      <c r="N7" s="184"/>
      <c r="O7" s="184"/>
      <c r="P7" s="184"/>
      <c r="Q7" s="184"/>
      <c r="R7" s="184"/>
      <c r="S7" s="184"/>
      <c r="T7" s="162"/>
      <c r="U7" s="162"/>
    </row>
    <row r="8" spans="1:21" ht="13.95" customHeight="1">
      <c r="A8" s="185" t="s">
        <v>704</v>
      </c>
      <c r="B8" s="184"/>
      <c r="C8" s="184"/>
      <c r="D8" s="184"/>
      <c r="E8" s="184"/>
      <c r="F8" s="184"/>
      <c r="G8" s="184"/>
      <c r="H8" s="184"/>
      <c r="I8" s="184"/>
      <c r="J8" s="184"/>
      <c r="K8" s="184"/>
      <c r="L8" s="184"/>
      <c r="M8" s="184"/>
      <c r="N8" s="184"/>
      <c r="O8" s="184"/>
      <c r="P8" s="184"/>
      <c r="Q8" s="184"/>
      <c r="R8" s="184"/>
      <c r="S8" s="184"/>
      <c r="T8" s="162"/>
      <c r="U8" s="162"/>
    </row>
    <row r="9" spans="1:21" ht="13.95" customHeight="1">
      <c r="A9" s="186" t="s">
        <v>705</v>
      </c>
      <c r="B9" s="187" t="s">
        <v>706</v>
      </c>
      <c r="C9" s="184"/>
      <c r="D9" s="184"/>
      <c r="E9" s="184"/>
      <c r="F9" s="184"/>
      <c r="G9" s="184"/>
      <c r="H9" s="184"/>
      <c r="I9" s="184"/>
      <c r="J9" s="184"/>
      <c r="K9" s="184"/>
      <c r="L9" s="184"/>
      <c r="M9" s="184"/>
      <c r="N9" s="184"/>
      <c r="O9" s="184"/>
      <c r="P9" s="184"/>
      <c r="Q9" s="184"/>
      <c r="R9" s="184"/>
      <c r="S9" s="184"/>
      <c r="T9" s="162"/>
      <c r="U9" s="162"/>
    </row>
    <row r="10" spans="1:21" ht="13.95" customHeight="1"/>
    <row r="11" spans="1:21" ht="13.95" customHeight="1">
      <c r="A11" s="188" t="s">
        <v>707</v>
      </c>
      <c r="B11" s="189"/>
    </row>
    <row r="12" spans="1:21" ht="15.6" customHeight="1">
      <c r="A12" s="164" t="s">
        <v>708</v>
      </c>
      <c r="B12" s="180"/>
      <c r="C12" s="180"/>
      <c r="D12" s="180"/>
      <c r="E12" s="180"/>
      <c r="F12" s="180"/>
    </row>
    <row r="13" spans="1:21" ht="15.6" customHeight="1">
      <c r="A13" s="186" t="s">
        <v>682</v>
      </c>
      <c r="B13" s="181" t="s">
        <v>709</v>
      </c>
      <c r="C13" s="180"/>
      <c r="D13" s="180"/>
      <c r="E13" s="180"/>
      <c r="F13" s="180"/>
    </row>
    <row r="14" spans="1:21" s="191" customFormat="1">
      <c r="A14" s="190" t="s">
        <v>683</v>
      </c>
      <c r="B14" s="181" t="s">
        <v>710</v>
      </c>
      <c r="C14" s="161"/>
      <c r="D14" s="161"/>
      <c r="E14" s="161"/>
      <c r="F14" s="161"/>
      <c r="G14" s="161"/>
      <c r="H14" s="161"/>
      <c r="I14" s="161"/>
      <c r="J14" s="161"/>
    </row>
    <row r="15" spans="1:21">
      <c r="A15" s="190" t="s">
        <v>711</v>
      </c>
      <c r="B15" s="192" t="s">
        <v>712</v>
      </c>
      <c r="C15" s="191"/>
      <c r="D15" s="191"/>
      <c r="E15" s="191"/>
      <c r="F15" s="191"/>
      <c r="G15" s="191"/>
      <c r="H15" s="191"/>
      <c r="I15" s="191"/>
      <c r="J15" s="191"/>
    </row>
    <row r="16" spans="1:21" ht="15.6" customHeight="1">
      <c r="A16" s="164" t="s">
        <v>713</v>
      </c>
      <c r="B16" s="191"/>
      <c r="C16" s="191"/>
      <c r="D16" s="191"/>
      <c r="E16" s="191"/>
      <c r="F16" s="191"/>
      <c r="G16" s="191"/>
      <c r="H16" s="191"/>
      <c r="I16" s="191"/>
      <c r="J16" s="191"/>
    </row>
    <row r="17" spans="1:2" ht="13.95" customHeight="1">
      <c r="A17" s="190" t="s">
        <v>714</v>
      </c>
      <c r="B17" s="181" t="s">
        <v>715</v>
      </c>
    </row>
    <row r="18" spans="1:2" ht="13.95" customHeight="1">
      <c r="A18" s="181"/>
      <c r="B18" s="193"/>
    </row>
    <row r="19" spans="1:2" ht="15.6" customHeight="1">
      <c r="A19" s="194" t="s">
        <v>716</v>
      </c>
    </row>
    <row r="20" spans="1:2" ht="15.6" customHeight="1">
      <c r="A20" s="195" t="s">
        <v>717</v>
      </c>
    </row>
    <row r="21" spans="1:2" ht="13.95" customHeight="1">
      <c r="A21" s="190" t="s">
        <v>686</v>
      </c>
      <c r="B21" s="181" t="s">
        <v>718</v>
      </c>
    </row>
    <row r="22" spans="1:2" ht="13.95" customHeight="1">
      <c r="A22" s="190" t="s">
        <v>719</v>
      </c>
      <c r="B22" s="181" t="s">
        <v>720</v>
      </c>
    </row>
    <row r="23" spans="1:2" ht="13.95" customHeight="1">
      <c r="A23" s="195" t="s">
        <v>721</v>
      </c>
      <c r="B23" s="181"/>
    </row>
    <row r="24" spans="1:2" ht="13.95" customHeight="1">
      <c r="A24" s="190" t="s">
        <v>690</v>
      </c>
      <c r="B24" s="181" t="s">
        <v>722</v>
      </c>
    </row>
    <row r="25" spans="1:2" ht="15.6" customHeight="1">
      <c r="A25" s="160"/>
    </row>
    <row r="26" spans="1:2" ht="15.6" customHeight="1">
      <c r="A26" s="196" t="s">
        <v>723</v>
      </c>
    </row>
    <row r="27" spans="1:2" ht="13.95" customHeight="1">
      <c r="A27" s="190" t="s">
        <v>680</v>
      </c>
      <c r="B27" s="181" t="s">
        <v>724</v>
      </c>
    </row>
    <row r="28" spans="1:2" s="179" customFormat="1" ht="13.95" customHeight="1"/>
    <row r="29" spans="1:2" ht="13.95" customHeight="1">
      <c r="A29" s="197" t="s">
        <v>725</v>
      </c>
    </row>
    <row r="30" spans="1:2" ht="13.95" customHeight="1">
      <c r="A30" s="198" t="s">
        <v>726</v>
      </c>
      <c r="B30" s="181" t="s">
        <v>727</v>
      </c>
    </row>
    <row r="31" spans="1:2" ht="13.95" customHeight="1">
      <c r="A31" s="198" t="s">
        <v>656</v>
      </c>
      <c r="B31" s="181" t="s">
        <v>728</v>
      </c>
    </row>
    <row r="32" spans="1:2" ht="13.95" customHeight="1"/>
    <row r="33" spans="1:1024">
      <c r="A33" s="199" t="s">
        <v>729</v>
      </c>
    </row>
    <row r="35" spans="1:1024" s="201" customFormat="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00"/>
      <c r="LE35" s="200"/>
      <c r="LF35" s="200"/>
      <c r="LG35" s="200"/>
      <c r="LH35" s="200"/>
      <c r="LI35" s="200"/>
      <c r="LJ35" s="200"/>
      <c r="LK35" s="200"/>
      <c r="LL35" s="200"/>
      <c r="LM35" s="200"/>
      <c r="LN35" s="200"/>
      <c r="LO35" s="200"/>
      <c r="LP35" s="200"/>
      <c r="LQ35" s="200"/>
      <c r="LR35" s="200"/>
      <c r="LS35" s="200"/>
      <c r="LT35" s="200"/>
      <c r="LU35" s="200"/>
      <c r="LV35" s="200"/>
      <c r="LW35" s="200"/>
      <c r="LX35" s="200"/>
      <c r="LY35" s="200"/>
      <c r="LZ35" s="200"/>
      <c r="MA35" s="200"/>
      <c r="MB35" s="200"/>
      <c r="MC35" s="200"/>
      <c r="MD35" s="200"/>
      <c r="ME35" s="200"/>
      <c r="MF35" s="200"/>
      <c r="MG35" s="200"/>
      <c r="MH35" s="200"/>
      <c r="MI35" s="200"/>
      <c r="MJ35" s="200"/>
      <c r="MK35" s="200"/>
      <c r="ML35" s="200"/>
      <c r="MM35" s="200"/>
      <c r="MN35" s="200"/>
      <c r="MO35" s="200"/>
      <c r="MP35" s="200"/>
      <c r="MQ35" s="200"/>
      <c r="MR35" s="200"/>
      <c r="MS35" s="200"/>
      <c r="MT35" s="200"/>
      <c r="MU35" s="200"/>
      <c r="MV35" s="200"/>
      <c r="MW35" s="200"/>
      <c r="MX35" s="200"/>
      <c r="MY35" s="200"/>
      <c r="MZ35" s="200"/>
      <c r="NA35" s="200"/>
      <c r="NB35" s="200"/>
      <c r="NC35" s="200"/>
      <c r="ND35" s="200"/>
      <c r="NE35" s="200"/>
      <c r="NF35" s="200"/>
      <c r="NG35" s="200"/>
      <c r="NH35" s="200"/>
      <c r="NI35" s="200"/>
      <c r="NJ35" s="200"/>
      <c r="NK35" s="200"/>
      <c r="NL35" s="200"/>
      <c r="NM35" s="200"/>
      <c r="NN35" s="200"/>
      <c r="NO35" s="200"/>
      <c r="NP35" s="200"/>
      <c r="NQ35" s="200"/>
      <c r="NR35" s="200"/>
      <c r="NS35" s="200"/>
      <c r="NT35" s="200"/>
      <c r="NU35" s="200"/>
      <c r="NV35" s="200"/>
      <c r="NW35" s="200"/>
      <c r="NX35" s="200"/>
      <c r="NY35" s="200"/>
      <c r="NZ35" s="200"/>
      <c r="OA35" s="200"/>
      <c r="OB35" s="200"/>
      <c r="OC35" s="200"/>
      <c r="OD35" s="200"/>
      <c r="OE35" s="200"/>
      <c r="OF35" s="200"/>
      <c r="OG35" s="200"/>
      <c r="OH35" s="200"/>
      <c r="OI35" s="200"/>
      <c r="OJ35" s="200"/>
      <c r="OK35" s="200"/>
      <c r="OL35" s="200"/>
      <c r="OM35" s="200"/>
      <c r="ON35" s="200"/>
      <c r="OO35" s="200"/>
      <c r="OP35" s="200"/>
      <c r="OQ35" s="200"/>
      <c r="OR35" s="200"/>
      <c r="OS35" s="200"/>
      <c r="OT35" s="200"/>
      <c r="OU35" s="200"/>
      <c r="OV35" s="200"/>
      <c r="OW35" s="200"/>
      <c r="OX35" s="200"/>
      <c r="OY35" s="200"/>
      <c r="OZ35" s="200"/>
      <c r="PA35" s="200"/>
      <c r="PB35" s="200"/>
      <c r="PC35" s="200"/>
      <c r="PD35" s="200"/>
      <c r="PE35" s="200"/>
      <c r="PF35" s="200"/>
      <c r="PG35" s="200"/>
      <c r="PH35" s="200"/>
      <c r="PI35" s="200"/>
      <c r="PJ35" s="200"/>
      <c r="PK35" s="200"/>
      <c r="PL35" s="200"/>
      <c r="PM35" s="200"/>
      <c r="PN35" s="200"/>
      <c r="PO35" s="200"/>
      <c r="PP35" s="200"/>
      <c r="PQ35" s="200"/>
      <c r="PR35" s="200"/>
      <c r="PS35" s="200"/>
      <c r="PT35" s="200"/>
      <c r="PU35" s="200"/>
      <c r="PV35" s="200"/>
      <c r="PW35" s="200"/>
      <c r="PX35" s="200"/>
      <c r="PY35" s="200"/>
      <c r="PZ35" s="200"/>
      <c r="QA35" s="200"/>
      <c r="QB35" s="200"/>
      <c r="QC35" s="200"/>
      <c r="QD35" s="200"/>
      <c r="QE35" s="200"/>
      <c r="QF35" s="200"/>
      <c r="QG35" s="200"/>
      <c r="QH35" s="200"/>
      <c r="QI35" s="200"/>
      <c r="QJ35" s="200"/>
      <c r="QK35" s="200"/>
      <c r="QL35" s="200"/>
      <c r="QM35" s="200"/>
      <c r="QN35" s="200"/>
      <c r="QO35" s="200"/>
      <c r="QP35" s="200"/>
      <c r="QQ35" s="200"/>
      <c r="QR35" s="200"/>
      <c r="QS35" s="200"/>
      <c r="QT35" s="200"/>
      <c r="QU35" s="200"/>
      <c r="QV35" s="200"/>
      <c r="QW35" s="200"/>
      <c r="QX35" s="200"/>
      <c r="QY35" s="200"/>
      <c r="QZ35" s="200"/>
      <c r="RA35" s="200"/>
      <c r="RB35" s="200"/>
      <c r="RC35" s="200"/>
      <c r="RD35" s="200"/>
      <c r="RE35" s="200"/>
      <c r="RF35" s="200"/>
      <c r="RG35" s="200"/>
      <c r="RH35" s="200"/>
      <c r="RI35" s="200"/>
      <c r="RJ35" s="200"/>
      <c r="RK35" s="200"/>
      <c r="RL35" s="200"/>
      <c r="RM35" s="200"/>
      <c r="RN35" s="200"/>
      <c r="RO35" s="200"/>
      <c r="RP35" s="200"/>
      <c r="RQ35" s="200"/>
      <c r="RR35" s="200"/>
      <c r="RS35" s="200"/>
      <c r="RT35" s="200"/>
      <c r="RU35" s="200"/>
      <c r="RV35" s="200"/>
      <c r="RW35" s="200"/>
      <c r="RX35" s="200"/>
      <c r="RY35" s="200"/>
      <c r="RZ35" s="200"/>
      <c r="SA35" s="200"/>
      <c r="SB35" s="200"/>
      <c r="SC35" s="200"/>
      <c r="SD35" s="200"/>
      <c r="SE35" s="200"/>
      <c r="SF35" s="200"/>
      <c r="SG35" s="200"/>
      <c r="SH35" s="200"/>
      <c r="SI35" s="200"/>
      <c r="SJ35" s="200"/>
      <c r="SK35" s="200"/>
      <c r="SL35" s="200"/>
      <c r="SM35" s="200"/>
      <c r="SN35" s="200"/>
      <c r="SO35" s="200"/>
      <c r="SP35" s="200"/>
      <c r="SQ35" s="200"/>
      <c r="SR35" s="200"/>
      <c r="SS35" s="200"/>
      <c r="ST35" s="200"/>
      <c r="SU35" s="200"/>
      <c r="SV35" s="200"/>
      <c r="SW35" s="200"/>
      <c r="SX35" s="200"/>
      <c r="SY35" s="200"/>
      <c r="SZ35" s="200"/>
      <c r="TA35" s="200"/>
      <c r="TB35" s="200"/>
      <c r="TC35" s="200"/>
      <c r="TD35" s="200"/>
      <c r="TE35" s="200"/>
      <c r="TF35" s="200"/>
      <c r="TG35" s="200"/>
      <c r="TH35" s="200"/>
      <c r="TI35" s="200"/>
      <c r="TJ35" s="200"/>
      <c r="TK35" s="200"/>
      <c r="TL35" s="200"/>
      <c r="TM35" s="200"/>
      <c r="TN35" s="200"/>
      <c r="TO35" s="200"/>
      <c r="TP35" s="200"/>
      <c r="TQ35" s="200"/>
      <c r="TR35" s="200"/>
      <c r="TS35" s="200"/>
      <c r="TT35" s="200"/>
      <c r="TU35" s="200"/>
      <c r="TV35" s="200"/>
      <c r="TW35" s="200"/>
      <c r="TX35" s="200"/>
      <c r="TY35" s="200"/>
      <c r="TZ35" s="200"/>
      <c r="UA35" s="200"/>
      <c r="UB35" s="200"/>
      <c r="UC35" s="200"/>
      <c r="UD35" s="200"/>
      <c r="UE35" s="200"/>
      <c r="UF35" s="200"/>
      <c r="UG35" s="200"/>
      <c r="UH35" s="200"/>
      <c r="UI35" s="200"/>
      <c r="UJ35" s="200"/>
      <c r="UK35" s="200"/>
      <c r="UL35" s="200"/>
      <c r="UM35" s="200"/>
      <c r="UN35" s="200"/>
      <c r="UO35" s="200"/>
      <c r="UP35" s="200"/>
      <c r="UQ35" s="200"/>
      <c r="UR35" s="200"/>
      <c r="US35" s="200"/>
      <c r="UT35" s="200"/>
      <c r="UU35" s="200"/>
      <c r="UV35" s="200"/>
      <c r="UW35" s="200"/>
      <c r="UX35" s="200"/>
      <c r="UY35" s="200"/>
      <c r="UZ35" s="200"/>
      <c r="VA35" s="200"/>
      <c r="VB35" s="200"/>
      <c r="VC35" s="200"/>
      <c r="VD35" s="200"/>
      <c r="VE35" s="200"/>
      <c r="VF35" s="200"/>
      <c r="VG35" s="200"/>
      <c r="VH35" s="200"/>
      <c r="VI35" s="200"/>
      <c r="VJ35" s="200"/>
      <c r="VK35" s="200"/>
      <c r="VL35" s="200"/>
      <c r="VM35" s="200"/>
      <c r="VN35" s="200"/>
      <c r="VO35" s="200"/>
      <c r="VP35" s="200"/>
      <c r="VQ35" s="200"/>
      <c r="VR35" s="200"/>
      <c r="VS35" s="200"/>
      <c r="VT35" s="200"/>
      <c r="VU35" s="200"/>
      <c r="VV35" s="200"/>
      <c r="VW35" s="200"/>
      <c r="VX35" s="200"/>
      <c r="VY35" s="200"/>
      <c r="VZ35" s="200"/>
      <c r="WA35" s="200"/>
      <c r="WB35" s="200"/>
      <c r="WC35" s="200"/>
      <c r="WD35" s="200"/>
      <c r="WE35" s="200"/>
      <c r="WF35" s="200"/>
      <c r="WG35" s="200"/>
      <c r="WH35" s="200"/>
      <c r="WI35" s="200"/>
      <c r="WJ35" s="200"/>
      <c r="WK35" s="200"/>
      <c r="WL35" s="200"/>
      <c r="WM35" s="200"/>
      <c r="WN35" s="200"/>
      <c r="WO35" s="200"/>
      <c r="WP35" s="200"/>
      <c r="WQ35" s="200"/>
      <c r="WR35" s="200"/>
      <c r="WS35" s="200"/>
      <c r="WT35" s="200"/>
      <c r="WU35" s="200"/>
      <c r="WV35" s="200"/>
      <c r="WW35" s="200"/>
      <c r="WX35" s="200"/>
      <c r="WY35" s="200"/>
      <c r="WZ35" s="200"/>
      <c r="XA35" s="200"/>
      <c r="XB35" s="200"/>
      <c r="XC35" s="200"/>
      <c r="XD35" s="200"/>
      <c r="XE35" s="200"/>
      <c r="XF35" s="200"/>
      <c r="XG35" s="200"/>
      <c r="XH35" s="200"/>
      <c r="XI35" s="200"/>
      <c r="XJ35" s="200"/>
      <c r="XK35" s="200"/>
      <c r="XL35" s="200"/>
      <c r="XM35" s="200"/>
      <c r="XN35" s="200"/>
      <c r="XO35" s="200"/>
      <c r="XP35" s="200"/>
      <c r="XQ35" s="200"/>
      <c r="XR35" s="200"/>
      <c r="XS35" s="200"/>
      <c r="XT35" s="200"/>
      <c r="XU35" s="200"/>
      <c r="XV35" s="200"/>
      <c r="XW35" s="200"/>
      <c r="XX35" s="200"/>
      <c r="XY35" s="200"/>
      <c r="XZ35" s="200"/>
      <c r="YA35" s="200"/>
      <c r="YB35" s="200"/>
      <c r="YC35" s="200"/>
      <c r="YD35" s="200"/>
      <c r="YE35" s="200"/>
      <c r="YF35" s="200"/>
      <c r="YG35" s="200"/>
      <c r="YH35" s="200"/>
      <c r="YI35" s="200"/>
      <c r="YJ35" s="200"/>
      <c r="YK35" s="200"/>
      <c r="YL35" s="200"/>
      <c r="YM35" s="200"/>
      <c r="YN35" s="200"/>
      <c r="YO35" s="200"/>
      <c r="YP35" s="200"/>
      <c r="YQ35" s="200"/>
      <c r="YR35" s="200"/>
      <c r="YS35" s="200"/>
      <c r="YT35" s="200"/>
      <c r="YU35" s="200"/>
      <c r="YV35" s="200"/>
      <c r="YW35" s="200"/>
      <c r="YX35" s="200"/>
      <c r="YY35" s="200"/>
      <c r="YZ35" s="200"/>
      <c r="ZA35" s="200"/>
      <c r="ZB35" s="200"/>
      <c r="ZC35" s="200"/>
      <c r="ZD35" s="200"/>
      <c r="ZE35" s="200"/>
      <c r="ZF35" s="200"/>
      <c r="ZG35" s="200"/>
      <c r="ZH35" s="200"/>
      <c r="ZI35" s="200"/>
      <c r="ZJ35" s="200"/>
      <c r="ZK35" s="200"/>
      <c r="ZL35" s="200"/>
      <c r="ZM35" s="200"/>
      <c r="ZN35" s="200"/>
      <c r="ZO35" s="200"/>
      <c r="ZP35" s="200"/>
      <c r="ZQ35" s="200"/>
      <c r="ZR35" s="200"/>
      <c r="ZS35" s="200"/>
      <c r="ZT35" s="200"/>
      <c r="ZU35" s="200"/>
      <c r="ZV35" s="200"/>
      <c r="ZW35" s="200"/>
      <c r="ZX35" s="200"/>
      <c r="ZY35" s="200"/>
      <c r="ZZ35" s="200"/>
      <c r="AAA35" s="200"/>
      <c r="AAB35" s="200"/>
      <c r="AAC35" s="200"/>
      <c r="AAD35" s="200"/>
      <c r="AAE35" s="200"/>
      <c r="AAF35" s="200"/>
      <c r="AAG35" s="200"/>
      <c r="AAH35" s="200"/>
      <c r="AAI35" s="200"/>
      <c r="AAJ35" s="200"/>
      <c r="AAK35" s="200"/>
      <c r="AAL35" s="200"/>
      <c r="AAM35" s="200"/>
      <c r="AAN35" s="200"/>
      <c r="AAO35" s="200"/>
      <c r="AAP35" s="200"/>
      <c r="AAQ35" s="200"/>
      <c r="AAR35" s="200"/>
      <c r="AAS35" s="200"/>
      <c r="AAT35" s="200"/>
      <c r="AAU35" s="200"/>
      <c r="AAV35" s="200"/>
      <c r="AAW35" s="200"/>
      <c r="AAX35" s="200"/>
      <c r="AAY35" s="200"/>
      <c r="AAZ35" s="200"/>
      <c r="ABA35" s="200"/>
      <c r="ABB35" s="200"/>
      <c r="ABC35" s="200"/>
      <c r="ABD35" s="200"/>
      <c r="ABE35" s="200"/>
      <c r="ABF35" s="200"/>
      <c r="ABG35" s="200"/>
      <c r="ABH35" s="200"/>
      <c r="ABI35" s="200"/>
      <c r="ABJ35" s="200"/>
      <c r="ABK35" s="200"/>
      <c r="ABL35" s="200"/>
      <c r="ABM35" s="200"/>
      <c r="ABN35" s="200"/>
      <c r="ABO35" s="200"/>
      <c r="ABP35" s="200"/>
      <c r="ABQ35" s="200"/>
      <c r="ABR35" s="200"/>
      <c r="ABS35" s="200"/>
      <c r="ABT35" s="200"/>
      <c r="ABU35" s="200"/>
      <c r="ABV35" s="200"/>
      <c r="ABW35" s="200"/>
      <c r="ABX35" s="200"/>
      <c r="ABY35" s="200"/>
      <c r="ABZ35" s="200"/>
      <c r="ACA35" s="200"/>
      <c r="ACB35" s="200"/>
      <c r="ACC35" s="200"/>
      <c r="ACD35" s="200"/>
      <c r="ACE35" s="200"/>
      <c r="ACF35" s="200"/>
      <c r="ACG35" s="200"/>
      <c r="ACH35" s="200"/>
      <c r="ACI35" s="200"/>
      <c r="ACJ35" s="200"/>
      <c r="ACK35" s="200"/>
      <c r="ACL35" s="200"/>
      <c r="ACM35" s="200"/>
      <c r="ACN35" s="200"/>
      <c r="ACO35" s="200"/>
      <c r="ACP35" s="200"/>
      <c r="ACQ35" s="200"/>
      <c r="ACR35" s="200"/>
      <c r="ACS35" s="200"/>
      <c r="ACT35" s="200"/>
      <c r="ACU35" s="200"/>
      <c r="ACV35" s="200"/>
      <c r="ACW35" s="200"/>
      <c r="ACX35" s="200"/>
      <c r="ACY35" s="200"/>
      <c r="ACZ35" s="200"/>
      <c r="ADA35" s="200"/>
      <c r="ADB35" s="200"/>
      <c r="ADC35" s="200"/>
      <c r="ADD35" s="200"/>
      <c r="ADE35" s="200"/>
      <c r="ADF35" s="200"/>
      <c r="ADG35" s="200"/>
      <c r="ADH35" s="200"/>
      <c r="ADI35" s="200"/>
      <c r="ADJ35" s="200"/>
      <c r="ADK35" s="200"/>
      <c r="ADL35" s="200"/>
      <c r="ADM35" s="200"/>
      <c r="ADN35" s="200"/>
      <c r="ADO35" s="200"/>
      <c r="ADP35" s="200"/>
      <c r="ADQ35" s="200"/>
      <c r="ADR35" s="200"/>
      <c r="ADS35" s="200"/>
      <c r="ADT35" s="200"/>
      <c r="ADU35" s="200"/>
      <c r="ADV35" s="200"/>
      <c r="ADW35" s="200"/>
      <c r="ADX35" s="200"/>
      <c r="ADY35" s="200"/>
      <c r="ADZ35" s="200"/>
      <c r="AEA35" s="200"/>
      <c r="AEB35" s="200"/>
      <c r="AEC35" s="200"/>
      <c r="AED35" s="200"/>
      <c r="AEE35" s="200"/>
      <c r="AEF35" s="200"/>
      <c r="AEG35" s="200"/>
      <c r="AEH35" s="200"/>
      <c r="AEI35" s="200"/>
      <c r="AEJ35" s="200"/>
      <c r="AEK35" s="200"/>
      <c r="AEL35" s="200"/>
      <c r="AEM35" s="200"/>
      <c r="AEN35" s="200"/>
      <c r="AEO35" s="200"/>
      <c r="AEP35" s="200"/>
      <c r="AEQ35" s="200"/>
      <c r="AER35" s="200"/>
      <c r="AES35" s="200"/>
      <c r="AET35" s="200"/>
      <c r="AEU35" s="200"/>
      <c r="AEV35" s="200"/>
      <c r="AEW35" s="200"/>
      <c r="AEX35" s="200"/>
      <c r="AEY35" s="200"/>
      <c r="AEZ35" s="200"/>
      <c r="AFA35" s="200"/>
      <c r="AFB35" s="200"/>
      <c r="AFC35" s="200"/>
      <c r="AFD35" s="200"/>
      <c r="AFE35" s="200"/>
      <c r="AFF35" s="200"/>
      <c r="AFG35" s="200"/>
      <c r="AFH35" s="200"/>
      <c r="AFI35" s="200"/>
      <c r="AFJ35" s="200"/>
      <c r="AFK35" s="200"/>
      <c r="AFL35" s="200"/>
      <c r="AFM35" s="200"/>
      <c r="AFN35" s="200"/>
      <c r="AFO35" s="200"/>
      <c r="AFP35" s="200"/>
      <c r="AFQ35" s="200"/>
      <c r="AFR35" s="200"/>
      <c r="AFS35" s="200"/>
      <c r="AFT35" s="200"/>
      <c r="AFU35" s="200"/>
      <c r="AFV35" s="200"/>
      <c r="AFW35" s="200"/>
      <c r="AFX35" s="200"/>
      <c r="AFY35" s="200"/>
      <c r="AFZ35" s="200"/>
      <c r="AGA35" s="200"/>
      <c r="AGB35" s="200"/>
      <c r="AGC35" s="200"/>
      <c r="AGD35" s="200"/>
      <c r="AGE35" s="200"/>
      <c r="AGF35" s="200"/>
      <c r="AGG35" s="200"/>
      <c r="AGH35" s="200"/>
      <c r="AGI35" s="200"/>
      <c r="AGJ35" s="200"/>
      <c r="AGK35" s="200"/>
      <c r="AGL35" s="200"/>
      <c r="AGM35" s="200"/>
      <c r="AGN35" s="200"/>
      <c r="AGO35" s="200"/>
      <c r="AGP35" s="200"/>
      <c r="AGQ35" s="200"/>
      <c r="AGR35" s="200"/>
      <c r="AGS35" s="200"/>
      <c r="AGT35" s="200"/>
      <c r="AGU35" s="200"/>
      <c r="AGV35" s="200"/>
      <c r="AGW35" s="200"/>
      <c r="AGX35" s="200"/>
      <c r="AGY35" s="200"/>
      <c r="AGZ35" s="200"/>
      <c r="AHA35" s="200"/>
      <c r="AHB35" s="200"/>
      <c r="AHC35" s="200"/>
      <c r="AHD35" s="200"/>
      <c r="AHE35" s="200"/>
      <c r="AHF35" s="200"/>
      <c r="AHG35" s="200"/>
      <c r="AHH35" s="200"/>
      <c r="AHI35" s="200"/>
      <c r="AHJ35" s="200"/>
      <c r="AHK35" s="200"/>
      <c r="AHL35" s="200"/>
      <c r="AHM35" s="200"/>
      <c r="AHN35" s="200"/>
      <c r="AHO35" s="200"/>
      <c r="AHP35" s="200"/>
      <c r="AHQ35" s="200"/>
      <c r="AHR35" s="200"/>
      <c r="AHS35" s="200"/>
      <c r="AHT35" s="200"/>
      <c r="AHU35" s="200"/>
      <c r="AHV35" s="200"/>
      <c r="AHW35" s="200"/>
      <c r="AHX35" s="200"/>
      <c r="AHY35" s="200"/>
      <c r="AHZ35" s="200"/>
      <c r="AIA35" s="200"/>
      <c r="AIB35" s="200"/>
      <c r="AIC35" s="200"/>
      <c r="AID35" s="200"/>
      <c r="AIE35" s="200"/>
      <c r="AIF35" s="200"/>
      <c r="AIG35" s="200"/>
      <c r="AIH35" s="200"/>
      <c r="AII35" s="200"/>
      <c r="AIJ35" s="200"/>
      <c r="AIK35" s="200"/>
      <c r="AIL35" s="200"/>
      <c r="AIM35" s="200"/>
      <c r="AIN35" s="200"/>
      <c r="AIO35" s="200"/>
      <c r="AIP35" s="200"/>
      <c r="AIQ35" s="200"/>
      <c r="AIR35" s="200"/>
      <c r="AIS35" s="200"/>
      <c r="AIT35" s="200"/>
      <c r="AIU35" s="200"/>
      <c r="AIV35" s="200"/>
      <c r="AIW35" s="200"/>
      <c r="AIX35" s="200"/>
      <c r="AIY35" s="200"/>
      <c r="AIZ35" s="200"/>
      <c r="AJA35" s="200"/>
      <c r="AJB35" s="200"/>
      <c r="AJC35" s="200"/>
      <c r="AJD35" s="200"/>
      <c r="AJE35" s="200"/>
      <c r="AJF35" s="200"/>
      <c r="AJG35" s="200"/>
      <c r="AJH35" s="200"/>
      <c r="AJI35" s="200"/>
      <c r="AJJ35" s="200"/>
      <c r="AJK35" s="200"/>
      <c r="AJL35" s="200"/>
      <c r="AJM35" s="200"/>
      <c r="AJN35" s="200"/>
      <c r="AJO35" s="200"/>
      <c r="AJP35" s="200"/>
      <c r="AJQ35" s="200"/>
      <c r="AJR35" s="200"/>
      <c r="AJS35" s="200"/>
      <c r="AJT35" s="200"/>
      <c r="AJU35" s="200"/>
      <c r="AJV35" s="200"/>
      <c r="AJW35" s="200"/>
      <c r="AJX35" s="200"/>
      <c r="AJY35" s="200"/>
      <c r="AJZ35" s="200"/>
      <c r="AKA35" s="200"/>
      <c r="AKB35" s="200"/>
      <c r="AKC35" s="200"/>
      <c r="AKD35" s="200"/>
      <c r="AKE35" s="200"/>
      <c r="AKF35" s="200"/>
      <c r="AKG35" s="200"/>
      <c r="AKH35" s="200"/>
      <c r="AKI35" s="200"/>
      <c r="AKJ35" s="200"/>
      <c r="AKK35" s="200"/>
      <c r="AKL35" s="200"/>
      <c r="AKM35" s="200"/>
      <c r="AKN35" s="200"/>
      <c r="AKO35" s="200"/>
      <c r="AKP35" s="200"/>
      <c r="AKQ35" s="200"/>
      <c r="AKR35" s="200"/>
      <c r="AKS35" s="200"/>
      <c r="AKT35" s="200"/>
      <c r="AKU35" s="200"/>
      <c r="AKV35" s="200"/>
      <c r="AKW35" s="200"/>
      <c r="AKX35" s="200"/>
      <c r="AKY35" s="200"/>
      <c r="AKZ35" s="200"/>
      <c r="ALA35" s="200"/>
      <c r="ALB35" s="200"/>
      <c r="ALC35" s="200"/>
      <c r="ALD35" s="200"/>
      <c r="ALE35" s="200"/>
      <c r="ALF35" s="200"/>
      <c r="ALG35" s="200"/>
      <c r="ALH35" s="200"/>
      <c r="ALI35" s="200"/>
      <c r="ALJ35" s="200"/>
      <c r="ALK35" s="200"/>
      <c r="ALL35" s="200"/>
      <c r="ALM35" s="200"/>
      <c r="ALN35" s="200"/>
      <c r="ALO35" s="200"/>
      <c r="ALP35" s="200"/>
      <c r="ALQ35" s="200"/>
      <c r="ALR35" s="200"/>
      <c r="ALS35" s="200"/>
      <c r="ALT35" s="200"/>
      <c r="ALU35" s="200"/>
      <c r="ALV35" s="200"/>
      <c r="ALW35" s="200"/>
      <c r="ALX35" s="200"/>
      <c r="ALY35" s="200"/>
      <c r="ALZ35" s="200"/>
      <c r="AMA35" s="200"/>
      <c r="AMB35" s="200"/>
      <c r="AMC35" s="200"/>
      <c r="AMD35" s="200"/>
      <c r="AME35" s="200"/>
      <c r="AMF35" s="200"/>
      <c r="AMG35" s="200"/>
      <c r="AMH35" s="200"/>
      <c r="AMI35" s="200"/>
      <c r="AMJ35" s="200"/>
    </row>
    <row r="36" spans="1:1024">
      <c r="A36" s="180" t="s">
        <v>730</v>
      </c>
    </row>
    <row r="38" spans="1:1024">
      <c r="A38" s="186" t="s">
        <v>705</v>
      </c>
    </row>
    <row r="40" spans="1:1024">
      <c r="A40" s="181" t="s">
        <v>731</v>
      </c>
    </row>
    <row r="42" spans="1:1024">
      <c r="A42" s="186" t="s">
        <v>682</v>
      </c>
      <c r="B42" s="190" t="s">
        <v>683</v>
      </c>
      <c r="C42" s="190" t="s">
        <v>711</v>
      </c>
    </row>
    <row r="44" spans="1:1024">
      <c r="A44" s="181" t="s">
        <v>732</v>
      </c>
    </row>
    <row r="45" spans="1:1024">
      <c r="A45" s="202" t="s">
        <v>733</v>
      </c>
      <c r="B45" s="181" t="s">
        <v>734</v>
      </c>
    </row>
    <row r="46" spans="1:1024">
      <c r="A46" s="202" t="s">
        <v>735</v>
      </c>
      <c r="B46" s="181" t="s">
        <v>736</v>
      </c>
    </row>
    <row r="47" spans="1:1024">
      <c r="A47" s="202" t="s">
        <v>737</v>
      </c>
      <c r="B47" s="181" t="s">
        <v>738</v>
      </c>
    </row>
    <row r="48" spans="1:1024">
      <c r="A48" s="202" t="s">
        <v>739</v>
      </c>
      <c r="B48" s="181" t="s">
        <v>740</v>
      </c>
    </row>
    <row r="49" spans="1:2">
      <c r="A49" s="202" t="s">
        <v>741</v>
      </c>
      <c r="B49" s="181" t="s">
        <v>742</v>
      </c>
    </row>
    <row r="51" spans="1:2">
      <c r="A51" s="190" t="s">
        <v>684</v>
      </c>
    </row>
    <row r="53" spans="1:2">
      <c r="A53" s="181" t="s">
        <v>743</v>
      </c>
    </row>
    <row r="54" spans="1:2">
      <c r="A54" s="181" t="s">
        <v>744</v>
      </c>
    </row>
    <row r="55" spans="1:2">
      <c r="A55" s="181" t="s">
        <v>745</v>
      </c>
    </row>
    <row r="56" spans="1:2">
      <c r="A56" s="203" t="s">
        <v>746</v>
      </c>
    </row>
    <row r="57" spans="1:2">
      <c r="A57" s="203" t="s">
        <v>747</v>
      </c>
    </row>
    <row r="58" spans="1:2">
      <c r="A58" s="203" t="s">
        <v>748</v>
      </c>
    </row>
    <row r="60" spans="1:2">
      <c r="A60" s="190" t="s">
        <v>686</v>
      </c>
      <c r="B60" s="190" t="s">
        <v>719</v>
      </c>
    </row>
    <row r="62" spans="1:2">
      <c r="A62" s="181" t="s">
        <v>749</v>
      </c>
    </row>
    <row r="63" spans="1:2">
      <c r="A63" s="202" t="s">
        <v>750</v>
      </c>
      <c r="B63" s="181" t="s">
        <v>751</v>
      </c>
    </row>
    <row r="64" spans="1:2">
      <c r="A64" s="202" t="s">
        <v>752</v>
      </c>
      <c r="B64" s="181" t="s">
        <v>753</v>
      </c>
    </row>
    <row r="65" spans="1:2">
      <c r="A65" s="166" t="s">
        <v>754</v>
      </c>
      <c r="B65" s="181"/>
    </row>
    <row r="66" spans="1:2">
      <c r="A66" s="202" t="s">
        <v>755</v>
      </c>
      <c r="B66" s="181" t="s">
        <v>756</v>
      </c>
    </row>
    <row r="67" spans="1:2">
      <c r="A67" s="202" t="s">
        <v>757</v>
      </c>
      <c r="B67" s="181" t="s">
        <v>758</v>
      </c>
    </row>
    <row r="68" spans="1:2">
      <c r="A68" s="202" t="s">
        <v>759</v>
      </c>
      <c r="B68" s="181" t="s">
        <v>760</v>
      </c>
    </row>
    <row r="69" spans="1:2">
      <c r="A69" s="202" t="s">
        <v>741</v>
      </c>
      <c r="B69" s="181" t="s">
        <v>761</v>
      </c>
    </row>
    <row r="71" spans="1:2">
      <c r="A71" s="190" t="s">
        <v>690</v>
      </c>
    </row>
    <row r="73" spans="1:2">
      <c r="A73" s="181" t="s">
        <v>762</v>
      </c>
    </row>
    <row r="74" spans="1:2">
      <c r="A74" s="181" t="s">
        <v>763</v>
      </c>
    </row>
    <row r="75" spans="1:2">
      <c r="A75" s="202" t="s">
        <v>735</v>
      </c>
      <c r="B75" s="181" t="s">
        <v>764</v>
      </c>
    </row>
    <row r="76" spans="1:2">
      <c r="A76" s="202" t="s">
        <v>752</v>
      </c>
      <c r="B76" s="181" t="s">
        <v>751</v>
      </c>
    </row>
    <row r="77" spans="1:2">
      <c r="A77" s="202" t="s">
        <v>765</v>
      </c>
      <c r="B77" s="181" t="s">
        <v>753</v>
      </c>
    </row>
    <row r="78" spans="1:2">
      <c r="A78" s="202" t="s">
        <v>766</v>
      </c>
      <c r="B78" s="181" t="s">
        <v>767</v>
      </c>
    </row>
    <row r="79" spans="1:2">
      <c r="A79" s="202" t="s">
        <v>768</v>
      </c>
      <c r="B79" s="181" t="s">
        <v>769</v>
      </c>
    </row>
    <row r="80" spans="1:2">
      <c r="A80" s="202" t="s">
        <v>741</v>
      </c>
      <c r="B80" s="181" t="s">
        <v>770</v>
      </c>
    </row>
    <row r="82" spans="1:2">
      <c r="A82" s="190" t="s">
        <v>680</v>
      </c>
    </row>
    <row r="84" spans="1:2">
      <c r="A84" s="181" t="s">
        <v>771</v>
      </c>
    </row>
    <row r="85" spans="1:2">
      <c r="A85" s="203" t="s">
        <v>772</v>
      </c>
      <c r="B85" s="181" t="s">
        <v>773</v>
      </c>
    </row>
    <row r="86" spans="1:2">
      <c r="A86" s="203" t="s">
        <v>774</v>
      </c>
      <c r="B86" s="181" t="s">
        <v>775</v>
      </c>
    </row>
    <row r="87" spans="1:2">
      <c r="A87" s="203" t="s">
        <v>776</v>
      </c>
      <c r="B87" s="181" t="s">
        <v>777</v>
      </c>
    </row>
    <row r="88" spans="1:2">
      <c r="A88" s="203" t="s">
        <v>778</v>
      </c>
      <c r="B88" s="181" t="s">
        <v>779</v>
      </c>
    </row>
    <row r="90" spans="1:2">
      <c r="A90" s="202" t="s">
        <v>735</v>
      </c>
      <c r="B90" s="161" t="s">
        <v>780</v>
      </c>
    </row>
    <row r="91" spans="1:2">
      <c r="A91" s="202" t="s">
        <v>752</v>
      </c>
      <c r="B91" s="161" t="s">
        <v>781</v>
      </c>
    </row>
    <row r="92" spans="1:2">
      <c r="A92" s="202" t="s">
        <v>765</v>
      </c>
      <c r="B92" s="161" t="s">
        <v>782</v>
      </c>
    </row>
    <row r="93" spans="1:2">
      <c r="A93" s="202" t="s">
        <v>766</v>
      </c>
      <c r="B93" s="161" t="s">
        <v>783</v>
      </c>
    </row>
    <row r="94" spans="1:2">
      <c r="A94" s="202" t="s">
        <v>768</v>
      </c>
      <c r="B94" s="181" t="s">
        <v>784</v>
      </c>
    </row>
    <row r="95" spans="1:2">
      <c r="A95" s="202" t="s">
        <v>785</v>
      </c>
      <c r="B95" s="161" t="s">
        <v>786</v>
      </c>
    </row>
    <row r="96" spans="1:2">
      <c r="A96" s="202" t="s">
        <v>787</v>
      </c>
      <c r="B96" s="181" t="s">
        <v>788</v>
      </c>
    </row>
    <row r="97" spans="1:2">
      <c r="A97" s="202"/>
    </row>
    <row r="98" spans="1:2" ht="15.6">
      <c r="A98" s="198" t="s">
        <v>726</v>
      </c>
    </row>
    <row r="100" spans="1:2">
      <c r="A100" s="161" t="s">
        <v>789</v>
      </c>
    </row>
    <row r="101" spans="1:2">
      <c r="A101" s="202" t="s">
        <v>790</v>
      </c>
      <c r="B101" s="161" t="s">
        <v>791</v>
      </c>
    </row>
    <row r="102" spans="1:2">
      <c r="A102" s="202" t="s">
        <v>752</v>
      </c>
      <c r="B102" s="181" t="s">
        <v>751</v>
      </c>
    </row>
    <row r="103" spans="1:2">
      <c r="A103" s="202" t="s">
        <v>765</v>
      </c>
      <c r="B103" s="181" t="s">
        <v>753</v>
      </c>
    </row>
    <row r="104" spans="1:2">
      <c r="A104" s="202" t="s">
        <v>766</v>
      </c>
      <c r="B104" s="161" t="s">
        <v>792</v>
      </c>
    </row>
    <row r="105" spans="1:2">
      <c r="A105" s="202" t="s">
        <v>768</v>
      </c>
      <c r="B105" s="161" t="s">
        <v>793</v>
      </c>
    </row>
    <row r="106" spans="1:2">
      <c r="A106" s="202" t="s">
        <v>785</v>
      </c>
      <c r="B106" s="161" t="s">
        <v>794</v>
      </c>
    </row>
    <row r="107" spans="1:2">
      <c r="A107" s="202" t="s">
        <v>787</v>
      </c>
      <c r="B107" s="161" t="s">
        <v>795</v>
      </c>
    </row>
    <row r="108" spans="1:2">
      <c r="A108" s="202" t="s">
        <v>741</v>
      </c>
      <c r="B108" s="161" t="s">
        <v>796</v>
      </c>
    </row>
    <row r="110" spans="1:2" ht="15.6">
      <c r="A110" s="198" t="s">
        <v>656</v>
      </c>
    </row>
    <row r="112" spans="1:2">
      <c r="A112" s="181" t="s">
        <v>797</v>
      </c>
    </row>
    <row r="113" spans="1:2">
      <c r="A113" s="202" t="s">
        <v>790</v>
      </c>
      <c r="B113" s="161" t="s">
        <v>798</v>
      </c>
    </row>
    <row r="114" spans="1:2">
      <c r="A114" s="202" t="s">
        <v>752</v>
      </c>
      <c r="B114" s="181" t="s">
        <v>751</v>
      </c>
    </row>
    <row r="115" spans="1:2">
      <c r="A115" s="202" t="s">
        <v>765</v>
      </c>
      <c r="B115" s="181" t="s">
        <v>753</v>
      </c>
    </row>
    <row r="116" spans="1:2">
      <c r="A116" s="202" t="s">
        <v>766</v>
      </c>
      <c r="B116" s="161" t="s">
        <v>792</v>
      </c>
    </row>
    <row r="117" spans="1:2">
      <c r="A117" s="202" t="s">
        <v>768</v>
      </c>
      <c r="B117" s="181" t="s">
        <v>799</v>
      </c>
    </row>
    <row r="118" spans="1:2">
      <c r="A118" s="202" t="s">
        <v>785</v>
      </c>
      <c r="B118" s="181" t="s">
        <v>800</v>
      </c>
    </row>
    <row r="119" spans="1:2">
      <c r="A119" s="202" t="s">
        <v>787</v>
      </c>
      <c r="B119" s="181" t="s">
        <v>801</v>
      </c>
    </row>
    <row r="120" spans="1:2">
      <c r="A120" s="202" t="s">
        <v>802</v>
      </c>
      <c r="B120" s="181" t="s">
        <v>803</v>
      </c>
    </row>
    <row r="121" spans="1:2">
      <c r="A121" s="202" t="s">
        <v>804</v>
      </c>
      <c r="B121" s="181" t="s">
        <v>805</v>
      </c>
    </row>
    <row r="122" spans="1:2">
      <c r="A122" s="202" t="s">
        <v>806</v>
      </c>
      <c r="B122" s="181" t="s">
        <v>807</v>
      </c>
    </row>
    <row r="123" spans="1:2">
      <c r="A123" s="202" t="s">
        <v>808</v>
      </c>
      <c r="B123" s="181" t="s">
        <v>809</v>
      </c>
    </row>
    <row r="124" spans="1:2">
      <c r="A124" s="202"/>
    </row>
    <row r="125" spans="1:2">
      <c r="A125" s="204" t="s">
        <v>810</v>
      </c>
    </row>
    <row r="127" spans="1:2">
      <c r="A127" s="181" t="s">
        <v>811</v>
      </c>
    </row>
  </sheetData>
  <hyperlinks>
    <hyperlink ref="A13" location="Produits!A1" display="Produits" xr:uid="{B4DC2971-F35C-4501-B0D4-E1B551B549C2}"/>
    <hyperlink ref="A14" location="Secteurs!A1" display="Secteurs" xr:uid="{658F2DD3-9D93-472D-842F-9662EB6A87CF}"/>
    <hyperlink ref="A21" location="Données!A1" display="Données" xr:uid="{16132797-D580-4061-A2AD-FBF10503D6E7}"/>
    <hyperlink ref="A22" location="'Min Max'!A1" display="Min Max" xr:uid="{A480A761-0F9F-43F6-BDB8-206A205A818B}"/>
    <hyperlink ref="A24" location="Contraintes!A1" display="Contraintes" xr:uid="{8BE4BA2D-EF7A-4C15-A264-C02E588ABB16}"/>
    <hyperlink ref="A27" location="Etiquettes!A1" display="Etiquettes" xr:uid="{B8F7B2E5-798F-4AB6-99F3-EFB22CD4D37F}"/>
    <hyperlink ref="A9" location="Méthodologie!A1" display="Méthodologie" xr:uid="{445B0E1B-56FA-4CD2-9A79-5CA6328C9D5B}"/>
    <hyperlink ref="A42" location="Produits!A1" display="Produits" xr:uid="{925EB2E3-CE8E-4AF8-88D7-8CB5F6FFC102}"/>
    <hyperlink ref="B42" location="Secteurs!A1" display="Secteurs" xr:uid="{0C020F82-E4B9-4958-B27B-150BA91D86C3}"/>
    <hyperlink ref="A51" location="'Structure des flux'!A1" display="Structure des flux" xr:uid="{D551C084-5A1E-4C1A-9613-1CE308A8C10D}"/>
    <hyperlink ref="A60" location="Données!A1" display="Données" xr:uid="{4809D450-B5BA-43C7-923B-3B155A259B1F}"/>
    <hyperlink ref="B60" location="'Min Max'!A1" display="Min Max" xr:uid="{4B3FC4F4-D226-4B82-9337-5E1A210FAF1E}"/>
    <hyperlink ref="A71" location="Contraintes!A1" display="Contraintes" xr:uid="{E8130C45-A492-4D98-9C0B-B3D573C66CC1}"/>
    <hyperlink ref="A82" location="Etiquettes!A1" display="Etiquettes" xr:uid="{2D90CFC1-F029-4414-8893-D4045A86C655}"/>
    <hyperlink ref="A38" location="Méthodologie!A1" display="Méthodologie" xr:uid="{D57677CC-8ED7-495C-AB03-6B10931938B8}"/>
    <hyperlink ref="A15" location="'Echanges territoires'!A1" display="Echanges territoires" xr:uid="{0B2A2821-A62C-4815-BBEE-6F168B2997B9}"/>
    <hyperlink ref="A17" location="'Table emplois ressources'!A1" display="Table emplois ressources" xr:uid="{1A38C0AE-2390-4E40-B754-95667925B2CC}"/>
    <hyperlink ref="C42" location="'Echanges territoires'!A1" display="Echanges territoires" xr:uid="{A25B8663-59EC-4DC4-A9E5-12C2E52B5FEB}"/>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572F-80C3-4DFC-A934-C4DE37D4172A}">
  <sheetPr>
    <tabColor rgb="FF92D050"/>
  </sheetPr>
  <dimension ref="A1:S14"/>
  <sheetViews>
    <sheetView workbookViewId="0">
      <pane xSplit="2" ySplit="1" topLeftCell="C2" activePane="bottomRight" state="frozen"/>
      <selection pane="topRight" activeCell="C1" sqref="C1"/>
      <selection pane="bottomLeft" activeCell="A2" sqref="A2"/>
      <selection pane="bottomRight" activeCell="P18" sqref="P1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Secteurs!$B$31</f>
        <v>Importations</v>
      </c>
      <c r="B2" t="str">
        <f>Produits!$B$19</f>
        <v>Viande de veaux</v>
      </c>
      <c r="C2" s="67">
        <f>'Comext de viande - Idele'!M6</f>
        <v>25.506770313272803</v>
      </c>
      <c r="E2" s="27" t="str">
        <f>Etiquettes!$C$7</f>
        <v>kt</v>
      </c>
      <c r="F2" s="111" t="str">
        <f>Etiquettes!$C$4</f>
        <v>Viande bovine</v>
      </c>
      <c r="G2" s="27">
        <f>Etiquettes!$H$6</f>
        <v>2015</v>
      </c>
      <c r="H2" s="27" t="str">
        <f>Etiquettes!$C$5</f>
        <v>France entière</v>
      </c>
      <c r="I2" s="111" t="s">
        <v>623</v>
      </c>
      <c r="J2"/>
      <c r="K2" t="s">
        <v>627</v>
      </c>
      <c r="L2" s="111" t="str" cm="1">
        <f t="array" aca="1" ref="L2" ca="1">[1]!NOM_FEUILLE('Comext de viande - Idele'!$A$1)</f>
        <v>Comext de viande - Idele</v>
      </c>
      <c r="M2" s="27" t="str">
        <f>Etiquettes!$H$11</f>
        <v>Volume</v>
      </c>
      <c r="N2" s="112" t="str">
        <f t="shared" ref="N2:N13" si="0">_xlfn.CONCAT(I2,IF(OR(ISBLANK(C2),ISERROR(C2)),"",_xlfn.CONCAT(" = ",MROUND(C2,1)," ",E2," (",K2,")")))</f>
        <v>Importation de viande de veaux = 26 kt (Douanes françaises)</v>
      </c>
      <c r="O2" s="27" t="str">
        <f>Etiquettes!$I$15</f>
        <v>Robuste</v>
      </c>
      <c r="P2" s="111" t="str">
        <f>Etiquettes!$H$16</f>
        <v>Données collectées</v>
      </c>
      <c r="Q2" s="111" t="str">
        <f>Etiquettes!$H$17</f>
        <v>Donnée collectée (valeur du flux ou coefficient)</v>
      </c>
      <c r="S2" s="213"/>
    </row>
    <row r="3" spans="1:19">
      <c r="A3" t="str">
        <f>Secteurs!$B$31</f>
        <v>Importations</v>
      </c>
      <c r="B3" t="str">
        <f>Produits!$B$20</f>
        <v>Viande de gros bovins</v>
      </c>
      <c r="C3" s="67">
        <f>'Comext de viande - Idele'!M7</f>
        <v>240.49128430211181</v>
      </c>
      <c r="E3" s="27" t="str">
        <f>Etiquettes!$C$7</f>
        <v>kt</v>
      </c>
      <c r="F3" s="111" t="str">
        <f>Etiquettes!$C$4</f>
        <v>Viande bovine</v>
      </c>
      <c r="G3" s="27">
        <f>Etiquettes!$H$6</f>
        <v>2015</v>
      </c>
      <c r="H3" s="27" t="str">
        <f>Etiquettes!$C$5</f>
        <v>France entière</v>
      </c>
      <c r="I3" s="111" t="s">
        <v>624</v>
      </c>
      <c r="J3"/>
      <c r="K3" t="s">
        <v>627</v>
      </c>
      <c r="L3" s="111" t="str" cm="1">
        <f t="array" aca="1" ref="L3" ca="1">[1]!NOM_FEUILLE('Comext de viande - Idele'!$A$1)</f>
        <v>Comext de viande - Idele</v>
      </c>
      <c r="M3" s="27" t="str">
        <f>Etiquettes!$H$11</f>
        <v>Volume</v>
      </c>
      <c r="N3" s="112" t="str">
        <f t="shared" si="0"/>
        <v>Importation de viande de gros bovins = 240 kt (Douanes françaises)</v>
      </c>
      <c r="O3" s="27" t="str">
        <f>Etiquettes!$I$15</f>
        <v>Robuste</v>
      </c>
      <c r="P3" s="111" t="str">
        <f>Etiquettes!$H$16</f>
        <v>Données collectées</v>
      </c>
      <c r="Q3" s="111" t="str">
        <f>Etiquettes!$H$17</f>
        <v>Donnée collectée (valeur du flux ou coefficient)</v>
      </c>
      <c r="S3" s="213"/>
    </row>
    <row r="4" spans="1:19">
      <c r="A4" t="str">
        <f>Produits!$B$19</f>
        <v>Viande de veaux</v>
      </c>
      <c r="B4" t="str">
        <f>Secteurs!$B$32</f>
        <v>Exportations</v>
      </c>
      <c r="C4" s="67">
        <f>'Comext de viande - Idele'!M8</f>
        <v>0</v>
      </c>
      <c r="E4" s="27" t="str">
        <f>Etiquettes!$C$7</f>
        <v>kt</v>
      </c>
      <c r="F4" s="111" t="str">
        <f>Etiquettes!$C$4</f>
        <v>Viande bovine</v>
      </c>
      <c r="G4" s="27">
        <f>Etiquettes!$H$6</f>
        <v>2015</v>
      </c>
      <c r="H4" s="27" t="str">
        <f>Etiquettes!$C$5</f>
        <v>France entière</v>
      </c>
      <c r="I4" s="111" t="s">
        <v>625</v>
      </c>
      <c r="J4" s="27"/>
      <c r="K4" t="s">
        <v>627</v>
      </c>
      <c r="L4" s="111" t="str" cm="1">
        <f t="array" aca="1" ref="L4" ca="1">[1]!NOM_FEUILLE('Comext de viande - Idele'!$A$1)</f>
        <v>Comext de viande - Idele</v>
      </c>
      <c r="M4" s="27" t="str">
        <f>Etiquettes!$H$11</f>
        <v>Volume</v>
      </c>
      <c r="N4" s="112" t="str">
        <f t="shared" si="0"/>
        <v>Exportation de viande de veaux = 0 kt (Douanes françaises)</v>
      </c>
      <c r="O4" s="27" t="str">
        <f>Etiquettes!$I$15</f>
        <v>Robuste</v>
      </c>
      <c r="P4" s="111" t="str">
        <f>Etiquettes!$H$16</f>
        <v>Données collectées</v>
      </c>
      <c r="Q4" s="111" t="str">
        <f>Etiquettes!$H$17</f>
        <v>Donnée collectée (valeur du flux ou coefficient)</v>
      </c>
      <c r="S4" s="213"/>
    </row>
    <row r="5" spans="1:19">
      <c r="A5" t="str">
        <f>Produits!$B$20</f>
        <v>Viande de gros bovins</v>
      </c>
      <c r="B5" t="str">
        <f>Secteurs!$B$32</f>
        <v>Exportations</v>
      </c>
      <c r="C5" s="67">
        <f>'Comext de viande - Idele'!M9</f>
        <v>181.33269769230768</v>
      </c>
      <c r="E5" s="27" t="str">
        <f>Etiquettes!$C$7</f>
        <v>kt</v>
      </c>
      <c r="F5" s="111" t="str">
        <f>Etiquettes!$C$4</f>
        <v>Viande bovine</v>
      </c>
      <c r="G5" s="27">
        <f>Etiquettes!$H$6</f>
        <v>2015</v>
      </c>
      <c r="H5" s="27" t="str">
        <f>Etiquettes!$C$5</f>
        <v>France entière</v>
      </c>
      <c r="I5" s="111" t="s">
        <v>626</v>
      </c>
      <c r="J5"/>
      <c r="K5" t="s">
        <v>627</v>
      </c>
      <c r="L5" s="111" t="str" cm="1">
        <f t="array" aca="1" ref="L5" ca="1">[1]!NOM_FEUILLE('Comext de viande - Idele'!$A$1)</f>
        <v>Comext de viande - Idele</v>
      </c>
      <c r="M5" s="27" t="str">
        <f>Etiquettes!$H$11</f>
        <v>Volume</v>
      </c>
      <c r="N5" s="112" t="str">
        <f t="shared" si="0"/>
        <v>Exportation de viande de gros bovins = 181 kt (Douanes françaises)</v>
      </c>
      <c r="O5" s="27" t="str">
        <f>Etiquettes!$I$15</f>
        <v>Robuste</v>
      </c>
      <c r="P5" s="111" t="str">
        <f>Etiquettes!$H$16</f>
        <v>Données collectées</v>
      </c>
      <c r="Q5" s="111" t="str">
        <f>Etiquettes!$H$17</f>
        <v>Donnée collectée (valeur du flux ou coefficient)</v>
      </c>
      <c r="S5" s="213"/>
    </row>
    <row r="6" spans="1:19">
      <c r="A6" t="str">
        <f>Secteurs!$B$31</f>
        <v>Importations</v>
      </c>
      <c r="B6" t="str">
        <f>Produits!$B$19</f>
        <v>Viande de veaux</v>
      </c>
      <c r="C6" s="67">
        <f>'Comext de viande - Idele'!N6</f>
        <v>30.769230769230766</v>
      </c>
      <c r="E6" s="27" t="str">
        <f>Etiquettes!$C$7</f>
        <v>kt</v>
      </c>
      <c r="F6" s="111" t="str">
        <f>Etiquettes!$C$4</f>
        <v>Viande bovine</v>
      </c>
      <c r="G6" s="27">
        <f>Etiquettes!$I$6</f>
        <v>2019</v>
      </c>
      <c r="H6" s="27" t="str">
        <f>Etiquettes!$C$5</f>
        <v>France entière</v>
      </c>
      <c r="I6" s="111" t="s">
        <v>623</v>
      </c>
      <c r="J6"/>
      <c r="K6" t="s">
        <v>627</v>
      </c>
      <c r="L6" s="111" t="str" cm="1">
        <f t="array" aca="1" ref="L6" ca="1">[1]!NOM_FEUILLE('Comext de viande - Idele'!$A$1)</f>
        <v>Comext de viande - Idele</v>
      </c>
      <c r="M6" s="27" t="str">
        <f>Etiquettes!$H$11</f>
        <v>Volume</v>
      </c>
      <c r="N6" s="112" t="str">
        <f t="shared" si="0"/>
        <v>Importation de viande de veaux = 31 kt (Douanes françaises)</v>
      </c>
      <c r="O6" s="27" t="str">
        <f>Etiquettes!$I$15</f>
        <v>Robuste</v>
      </c>
      <c r="P6" s="111" t="str">
        <f>Etiquettes!$H$16</f>
        <v>Données collectées</v>
      </c>
      <c r="Q6" s="111" t="str">
        <f>Etiquettes!$H$17</f>
        <v>Donnée collectée (valeur du flux ou coefficient)</v>
      </c>
      <c r="S6" s="213"/>
    </row>
    <row r="7" spans="1:19">
      <c r="A7" t="str">
        <f>Secteurs!$B$31</f>
        <v>Importations</v>
      </c>
      <c r="B7" t="str">
        <f>Produits!$B$20</f>
        <v>Viande de gros bovins</v>
      </c>
      <c r="C7" s="67">
        <f>'Comext de viande - Idele'!N7</f>
        <v>231.14495692307693</v>
      </c>
      <c r="E7" s="27" t="str">
        <f>Etiquettes!$C$7</f>
        <v>kt</v>
      </c>
      <c r="F7" s="111" t="str">
        <f>Etiquettes!$C$4</f>
        <v>Viande bovine</v>
      </c>
      <c r="G7" s="27">
        <f>Etiquettes!$I$6</f>
        <v>2019</v>
      </c>
      <c r="H7" s="27" t="str">
        <f>Etiquettes!$C$5</f>
        <v>France entière</v>
      </c>
      <c r="I7" s="111" t="s">
        <v>624</v>
      </c>
      <c r="J7"/>
      <c r="K7" t="s">
        <v>627</v>
      </c>
      <c r="L7" s="111" t="str" cm="1">
        <f t="array" aca="1" ref="L7" ca="1">[1]!NOM_FEUILLE('Comext de viande - Idele'!$A$1)</f>
        <v>Comext de viande - Idele</v>
      </c>
      <c r="M7" s="27" t="str">
        <f>Etiquettes!$H$11</f>
        <v>Volume</v>
      </c>
      <c r="N7" s="112" t="str">
        <f t="shared" si="0"/>
        <v>Importation de viande de gros bovins = 231 kt (Douanes françaises)</v>
      </c>
      <c r="O7" s="27" t="str">
        <f>Etiquettes!$I$15</f>
        <v>Robuste</v>
      </c>
      <c r="P7" s="111" t="str">
        <f>Etiquettes!$H$16</f>
        <v>Données collectées</v>
      </c>
      <c r="Q7" s="111" t="str">
        <f>Etiquettes!$H$17</f>
        <v>Donnée collectée (valeur du flux ou coefficient)</v>
      </c>
      <c r="S7" s="213"/>
    </row>
    <row r="8" spans="1:19">
      <c r="A8" t="str">
        <f>Produits!$B$19</f>
        <v>Viande de veaux</v>
      </c>
      <c r="B8" t="str">
        <f>Secteurs!$B$32</f>
        <v>Exportations</v>
      </c>
      <c r="C8" s="67">
        <f>'Comext de viande - Idele'!N8</f>
        <v>1.5384615384615383</v>
      </c>
      <c r="E8" s="27" t="str">
        <f>Etiquettes!$C$7</f>
        <v>kt</v>
      </c>
      <c r="F8" s="111" t="str">
        <f>Etiquettes!$C$4</f>
        <v>Viande bovine</v>
      </c>
      <c r="G8" s="27">
        <f>Etiquettes!$I$6</f>
        <v>2019</v>
      </c>
      <c r="H8" s="27" t="str">
        <f>Etiquettes!$C$5</f>
        <v>France entière</v>
      </c>
      <c r="I8" s="111" t="s">
        <v>625</v>
      </c>
      <c r="J8" s="27"/>
      <c r="K8" t="s">
        <v>627</v>
      </c>
      <c r="L8" s="111" t="str" cm="1">
        <f t="array" aca="1" ref="L8" ca="1">[1]!NOM_FEUILLE('Comext de viande - Idele'!$A$1)</f>
        <v>Comext de viande - Idele</v>
      </c>
      <c r="M8" s="27" t="str">
        <f>Etiquettes!$H$11</f>
        <v>Volume</v>
      </c>
      <c r="N8" s="112" t="str">
        <f t="shared" si="0"/>
        <v>Exportation de viande de veaux = 2 kt (Douanes françaises)</v>
      </c>
      <c r="O8" s="27" t="str">
        <f>Etiquettes!$I$15</f>
        <v>Robuste</v>
      </c>
      <c r="P8" s="111" t="str">
        <f>Etiquettes!$H$16</f>
        <v>Données collectées</v>
      </c>
      <c r="Q8" s="111" t="str">
        <f>Etiquettes!$H$17</f>
        <v>Donnée collectée (valeur du flux ou coefficient)</v>
      </c>
      <c r="S8" s="213"/>
    </row>
    <row r="9" spans="1:19">
      <c r="A9" t="str">
        <f>Produits!$B$20</f>
        <v>Viande de gros bovins</v>
      </c>
      <c r="B9" t="str">
        <f>Secteurs!$B$32</f>
        <v>Exportations</v>
      </c>
      <c r="C9" s="67">
        <f>'Comext de viande - Idele'!N9</f>
        <v>174.03492076923075</v>
      </c>
      <c r="E9" s="27" t="str">
        <f>Etiquettes!$C$7</f>
        <v>kt</v>
      </c>
      <c r="F9" s="111" t="str">
        <f>Etiquettes!$C$4</f>
        <v>Viande bovine</v>
      </c>
      <c r="G9" s="27">
        <f>Etiquettes!$I$6</f>
        <v>2019</v>
      </c>
      <c r="H9" s="27" t="str">
        <f>Etiquettes!$C$5</f>
        <v>France entière</v>
      </c>
      <c r="I9" s="111" t="s">
        <v>626</v>
      </c>
      <c r="J9"/>
      <c r="K9" t="s">
        <v>627</v>
      </c>
      <c r="L9" s="111" t="str" cm="1">
        <f t="array" aca="1" ref="L9" ca="1">[1]!NOM_FEUILLE('Comext de viande - Idele'!$A$1)</f>
        <v>Comext de viande - Idele</v>
      </c>
      <c r="M9" s="27" t="str">
        <f>Etiquettes!$H$11</f>
        <v>Volume</v>
      </c>
      <c r="N9" s="112" t="str">
        <f t="shared" si="0"/>
        <v>Exportation de viande de gros bovins = 174 kt (Douanes françaises)</v>
      </c>
      <c r="O9" s="27" t="str">
        <f>Etiquettes!$I$15</f>
        <v>Robuste</v>
      </c>
      <c r="P9" s="111" t="str">
        <f>Etiquettes!$H$16</f>
        <v>Données collectées</v>
      </c>
      <c r="Q9" s="111" t="str">
        <f>Etiquettes!$H$17</f>
        <v>Donnée collectée (valeur du flux ou coefficient)</v>
      </c>
      <c r="S9" s="213"/>
    </row>
    <row r="10" spans="1:19">
      <c r="A10" t="str">
        <f>Secteurs!$B$31</f>
        <v>Importations</v>
      </c>
      <c r="B10" t="str">
        <f>Produits!$B$19</f>
        <v>Viande de veaux</v>
      </c>
      <c r="C10" s="67">
        <f>'Comext de viande - Idele'!O6</f>
        <v>30.907692307692308</v>
      </c>
      <c r="E10" s="27" t="str">
        <f>Etiquettes!$C$7</f>
        <v>kt</v>
      </c>
      <c r="F10" s="111" t="str">
        <f>Etiquettes!$C$4</f>
        <v>Viande bovine</v>
      </c>
      <c r="G10" s="27">
        <f>Etiquettes!$J$6</f>
        <v>2023</v>
      </c>
      <c r="H10" s="27" t="str">
        <f>Etiquettes!$C$5</f>
        <v>France entière</v>
      </c>
      <c r="I10" s="111" t="s">
        <v>623</v>
      </c>
      <c r="J10"/>
      <c r="K10" t="s">
        <v>627</v>
      </c>
      <c r="L10" s="111" t="str" cm="1">
        <f t="array" aca="1" ref="L10" ca="1">[1]!NOM_FEUILLE('Comext de viande - Idele'!$A$1)</f>
        <v>Comext de viande - Idele</v>
      </c>
      <c r="M10" s="27" t="str">
        <f>Etiquettes!$H$11</f>
        <v>Volume</v>
      </c>
      <c r="N10" s="112" t="str">
        <f t="shared" si="0"/>
        <v>Importation de viande de veaux = 31 kt (Douanes françaises)</v>
      </c>
      <c r="O10" s="27" t="str">
        <f>Etiquettes!$I$15</f>
        <v>Robuste</v>
      </c>
      <c r="P10" s="111" t="str">
        <f>Etiquettes!$H$16</f>
        <v>Données collectées</v>
      </c>
      <c r="Q10" s="111" t="str">
        <f>Etiquettes!$H$17</f>
        <v>Donnée collectée (valeur du flux ou coefficient)</v>
      </c>
      <c r="S10" s="213"/>
    </row>
    <row r="11" spans="1:19">
      <c r="A11" t="str">
        <f>Secteurs!$B$31</f>
        <v>Importations</v>
      </c>
      <c r="B11" t="str">
        <f>Produits!$B$20</f>
        <v>Viande de gros bovins</v>
      </c>
      <c r="C11" s="67">
        <f>'Comext de viande - Idele'!O7</f>
        <v>225.26624076923076</v>
      </c>
      <c r="E11" s="27" t="str">
        <f>Etiquettes!$C$7</f>
        <v>kt</v>
      </c>
      <c r="F11" s="111" t="str">
        <f>Etiquettes!$C$4</f>
        <v>Viande bovine</v>
      </c>
      <c r="G11" s="27">
        <f>Etiquettes!$J$6</f>
        <v>2023</v>
      </c>
      <c r="H11" s="27" t="str">
        <f>Etiquettes!$C$5</f>
        <v>France entière</v>
      </c>
      <c r="I11" s="111" t="s">
        <v>624</v>
      </c>
      <c r="J11"/>
      <c r="K11" t="s">
        <v>627</v>
      </c>
      <c r="L11" s="111" t="str" cm="1">
        <f t="array" aca="1" ref="L11" ca="1">[1]!NOM_FEUILLE('Comext de viande - Idele'!$A$1)</f>
        <v>Comext de viande - Idele</v>
      </c>
      <c r="M11" s="27" t="str">
        <f>Etiquettes!$H$11</f>
        <v>Volume</v>
      </c>
      <c r="N11" s="112" t="str">
        <f t="shared" si="0"/>
        <v>Importation de viande de gros bovins = 225 kt (Douanes françaises)</v>
      </c>
      <c r="O11" s="27" t="str">
        <f>Etiquettes!$I$15</f>
        <v>Robuste</v>
      </c>
      <c r="P11" s="111" t="str">
        <f>Etiquettes!$H$16</f>
        <v>Données collectées</v>
      </c>
      <c r="Q11" s="111" t="str">
        <f>Etiquettes!$H$17</f>
        <v>Donnée collectée (valeur du flux ou coefficient)</v>
      </c>
      <c r="S11" s="213"/>
    </row>
    <row r="12" spans="1:19">
      <c r="A12" t="str">
        <f>Produits!$B$19</f>
        <v>Viande de veaux</v>
      </c>
      <c r="B12" t="str">
        <f>Secteurs!$B$32</f>
        <v>Exportations</v>
      </c>
      <c r="C12" s="67">
        <f>'Comext de viande - Idele'!O8</f>
        <v>2.0769230769230771</v>
      </c>
      <c r="E12" s="27" t="str">
        <f>Etiquettes!$C$7</f>
        <v>kt</v>
      </c>
      <c r="F12" s="111" t="str">
        <f>Etiquettes!$C$4</f>
        <v>Viande bovine</v>
      </c>
      <c r="G12" s="27">
        <f>Etiquettes!$J$6</f>
        <v>2023</v>
      </c>
      <c r="H12" s="27" t="str">
        <f>Etiquettes!$C$5</f>
        <v>France entière</v>
      </c>
      <c r="I12" s="111" t="s">
        <v>625</v>
      </c>
      <c r="J12" s="27"/>
      <c r="K12" t="s">
        <v>627</v>
      </c>
      <c r="L12" s="111" t="str" cm="1">
        <f t="array" aca="1" ref="L12" ca="1">[1]!NOM_FEUILLE('Comext de viande - Idele'!$A$1)</f>
        <v>Comext de viande - Idele</v>
      </c>
      <c r="M12" s="27" t="str">
        <f>Etiquettes!$H$11</f>
        <v>Volume</v>
      </c>
      <c r="N12" s="112" t="str">
        <f t="shared" si="0"/>
        <v>Exportation de viande de veaux = 2 kt (Douanes françaises)</v>
      </c>
      <c r="O12" s="27" t="str">
        <f>Etiquettes!$I$15</f>
        <v>Robuste</v>
      </c>
      <c r="P12" s="111" t="str">
        <f>Etiquettes!$H$16</f>
        <v>Données collectées</v>
      </c>
      <c r="Q12" s="111" t="str">
        <f>Etiquettes!$H$17</f>
        <v>Donnée collectée (valeur du flux ou coefficient)</v>
      </c>
      <c r="S12" s="213"/>
    </row>
    <row r="13" spans="1:19">
      <c r="A13" t="str">
        <f>Produits!$B$20</f>
        <v>Viande de gros bovins</v>
      </c>
      <c r="B13" t="str">
        <f>Secteurs!$B$32</f>
        <v>Exportations</v>
      </c>
      <c r="C13" s="67">
        <f>'Comext de viande - Idele'!O9</f>
        <v>139.47390153846152</v>
      </c>
      <c r="E13" s="27" t="str">
        <f>Etiquettes!$C$7</f>
        <v>kt</v>
      </c>
      <c r="F13" s="111" t="str">
        <f>Etiquettes!$C$4</f>
        <v>Viande bovine</v>
      </c>
      <c r="G13" s="27">
        <f>Etiquettes!$J$6</f>
        <v>2023</v>
      </c>
      <c r="H13" s="27" t="str">
        <f>Etiquettes!$C$5</f>
        <v>France entière</v>
      </c>
      <c r="I13" s="111" t="s">
        <v>626</v>
      </c>
      <c r="J13"/>
      <c r="K13" t="s">
        <v>627</v>
      </c>
      <c r="L13" s="111" t="str" cm="1">
        <f t="array" aca="1" ref="L13" ca="1">[1]!NOM_FEUILLE('Comext de viande - Idele'!$A$1)</f>
        <v>Comext de viande - Idele</v>
      </c>
      <c r="M13" s="27" t="str">
        <f>Etiquettes!$H$11</f>
        <v>Volume</v>
      </c>
      <c r="N13" s="112" t="str">
        <f t="shared" si="0"/>
        <v>Exportation de viande de gros bovins = 139 kt (Douanes françaises)</v>
      </c>
      <c r="O13" s="27" t="str">
        <f>Etiquettes!$I$15</f>
        <v>Robuste</v>
      </c>
      <c r="P13" s="111" t="str">
        <f>Etiquettes!$H$16</f>
        <v>Données collectées</v>
      </c>
      <c r="Q13" s="111" t="str">
        <f>Etiquettes!$H$17</f>
        <v>Donnée collectée (valeur du flux ou coefficient)</v>
      </c>
      <c r="S13" s="213"/>
    </row>
    <row r="14" spans="1:19">
      <c r="C14" s="67"/>
    </row>
  </sheetData>
  <mergeCells count="3">
    <mergeCell ref="S2:S5"/>
    <mergeCell ref="S6:S9"/>
    <mergeCell ref="S10:S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6201-59B2-4DBC-80F6-AA5220C4F643}">
  <sheetPr>
    <tabColor rgb="FFFFC000"/>
  </sheetPr>
  <dimension ref="A1:O30"/>
  <sheetViews>
    <sheetView zoomScaleNormal="100" workbookViewId="0">
      <pane xSplit="1" ySplit="1" topLeftCell="B2" activePane="bottomRight" state="frozen"/>
      <selection pane="topRight" activeCell="B1" sqref="B1"/>
      <selection pane="bottomLeft" activeCell="A2" sqref="A2"/>
      <selection pane="bottomRight" activeCell="L14" sqref="L14"/>
    </sheetView>
  </sheetViews>
  <sheetFormatPr baseColWidth="10" defaultRowHeight="14.4"/>
  <cols>
    <col min="1" max="1" width="11.5546875" style="128"/>
    <col min="2" max="2" width="8" style="128" customWidth="1"/>
    <col min="3" max="5" width="11.5546875" style="128"/>
    <col min="6" max="6" width="3.88671875" style="128" customWidth="1"/>
    <col min="7" max="7" width="11.5546875" style="128"/>
    <col min="8" max="9" width="19.44140625" style="128" customWidth="1"/>
    <col min="10" max="10" width="11.5546875" style="128"/>
    <col min="11" max="11" width="12.44140625" style="128" customWidth="1"/>
    <col min="12" max="16384" width="11.5546875" style="128"/>
  </cols>
  <sheetData>
    <row r="1" spans="1:15" ht="28.8">
      <c r="B1" s="129" t="s">
        <v>613</v>
      </c>
      <c r="C1" s="130" t="s">
        <v>614</v>
      </c>
      <c r="D1" s="131" t="s">
        <v>615</v>
      </c>
      <c r="E1" s="131"/>
      <c r="G1" s="132" t="s">
        <v>616</v>
      </c>
      <c r="H1" s="132" t="s">
        <v>617</v>
      </c>
      <c r="I1" s="132" t="s">
        <v>618</v>
      </c>
    </row>
    <row r="2" spans="1:15">
      <c r="A2" s="128">
        <v>1997</v>
      </c>
      <c r="D2" s="130" t="s">
        <v>619</v>
      </c>
      <c r="E2" s="130" t="s">
        <v>620</v>
      </c>
    </row>
    <row r="3" spans="1:15">
      <c r="A3" s="128">
        <v>1998</v>
      </c>
      <c r="D3" s="133">
        <v>47.7</v>
      </c>
    </row>
    <row r="4" spans="1:15">
      <c r="A4" s="128">
        <v>1999</v>
      </c>
      <c r="B4" s="134">
        <v>339.750248</v>
      </c>
      <c r="C4" s="134">
        <v>379.21249200000005</v>
      </c>
      <c r="D4" s="133">
        <v>46.3</v>
      </c>
      <c r="G4" s="135">
        <f t="shared" ref="G4:G28" si="0">B4-D4</f>
        <v>293.45024799999999</v>
      </c>
      <c r="H4" s="135">
        <f t="shared" ref="H4:H25" si="1">G4</f>
        <v>293.45024799999999</v>
      </c>
      <c r="I4" s="135">
        <f t="shared" ref="I4:I25" si="2">C4-E4</f>
        <v>379.21249200000005</v>
      </c>
      <c r="K4" s="128" t="s">
        <v>622</v>
      </c>
    </row>
    <row r="5" spans="1:15">
      <c r="A5" s="128">
        <v>2000</v>
      </c>
      <c r="B5" s="134">
        <v>327.505852</v>
      </c>
      <c r="C5" s="134">
        <v>293.57934399999999</v>
      </c>
      <c r="D5" s="133">
        <v>48.2</v>
      </c>
      <c r="G5" s="135">
        <f t="shared" si="0"/>
        <v>279.30585200000002</v>
      </c>
      <c r="H5" s="135">
        <f t="shared" si="1"/>
        <v>279.30585200000002</v>
      </c>
      <c r="I5" s="135">
        <f t="shared" si="2"/>
        <v>293.57934399999999</v>
      </c>
      <c r="M5" s="128">
        <v>2015</v>
      </c>
      <c r="N5" s="128">
        <v>2019</v>
      </c>
      <c r="O5" s="128">
        <v>2023</v>
      </c>
    </row>
    <row r="6" spans="1:15">
      <c r="A6" s="128">
        <v>2001</v>
      </c>
      <c r="B6" s="134">
        <v>254.82572300000001</v>
      </c>
      <c r="C6" s="134">
        <v>168.71951999999999</v>
      </c>
      <c r="D6" s="133">
        <v>37.700000000000003</v>
      </c>
      <c r="G6" s="135">
        <f t="shared" si="0"/>
        <v>217.12572299999999</v>
      </c>
      <c r="H6" s="135">
        <f t="shared" si="1"/>
        <v>217.12572299999999</v>
      </c>
      <c r="I6" s="135">
        <f t="shared" si="2"/>
        <v>168.71951999999999</v>
      </c>
      <c r="K6" s="224" t="s">
        <v>621</v>
      </c>
      <c r="L6" s="128" t="s">
        <v>58</v>
      </c>
      <c r="M6" s="118">
        <f>D20/1.3</f>
        <v>25.506770313272803</v>
      </c>
      <c r="N6" s="118">
        <f>D24/1.3</f>
        <v>30.769230769230766</v>
      </c>
      <c r="O6" s="118">
        <f>D28/1.3</f>
        <v>30.907692307692308</v>
      </c>
    </row>
    <row r="7" spans="1:15">
      <c r="A7" s="128">
        <v>2002</v>
      </c>
      <c r="B7" s="134">
        <v>293.27394199999998</v>
      </c>
      <c r="C7" s="134">
        <v>229.59575599999999</v>
      </c>
      <c r="D7" s="133">
        <v>42.2</v>
      </c>
      <c r="G7" s="135">
        <f t="shared" si="0"/>
        <v>251.07394199999999</v>
      </c>
      <c r="H7" s="135">
        <f t="shared" si="1"/>
        <v>251.07394199999999</v>
      </c>
      <c r="I7" s="135">
        <f t="shared" si="2"/>
        <v>229.59575599999999</v>
      </c>
      <c r="K7" s="224"/>
      <c r="L7" s="128" t="s">
        <v>7</v>
      </c>
      <c r="M7" s="118">
        <f>H20/1.3</f>
        <v>240.49128430211181</v>
      </c>
      <c r="N7" s="118">
        <f>H24/1.3</f>
        <v>231.14495692307693</v>
      </c>
      <c r="O7" s="118">
        <f>H28/1.3</f>
        <v>225.26624076923076</v>
      </c>
    </row>
    <row r="8" spans="1:15">
      <c r="A8" s="128">
        <v>2003</v>
      </c>
      <c r="B8" s="134">
        <v>276.00138500000003</v>
      </c>
      <c r="C8" s="134">
        <v>303.24969099999998</v>
      </c>
      <c r="D8" s="133">
        <v>38.799999999999997</v>
      </c>
      <c r="G8" s="135">
        <f t="shared" si="0"/>
        <v>237.20138500000002</v>
      </c>
      <c r="H8" s="135">
        <f t="shared" si="1"/>
        <v>237.20138500000002</v>
      </c>
      <c r="I8" s="135">
        <f t="shared" si="2"/>
        <v>303.24969099999998</v>
      </c>
      <c r="K8" s="224" t="s">
        <v>220</v>
      </c>
      <c r="L8" s="128" t="s">
        <v>58</v>
      </c>
      <c r="M8" s="118">
        <f>E20/1.3</f>
        <v>0</v>
      </c>
      <c r="N8" s="118">
        <f>E24/1.3</f>
        <v>1.5384615384615383</v>
      </c>
      <c r="O8" s="118">
        <f>E28/1.3</f>
        <v>2.0769230769230771</v>
      </c>
    </row>
    <row r="9" spans="1:15">
      <c r="A9" s="128">
        <v>2004</v>
      </c>
      <c r="B9" s="134">
        <v>330.36519599999997</v>
      </c>
      <c r="C9" s="134">
        <v>280.09939899999995</v>
      </c>
      <c r="D9" s="133">
        <v>41</v>
      </c>
      <c r="G9" s="135">
        <f t="shared" si="0"/>
        <v>289.36519599999997</v>
      </c>
      <c r="H9" s="135">
        <f t="shared" si="1"/>
        <v>289.36519599999997</v>
      </c>
      <c r="I9" s="135">
        <f t="shared" si="2"/>
        <v>280.09939899999995</v>
      </c>
      <c r="K9" s="224"/>
      <c r="L9" s="128" t="s">
        <v>7</v>
      </c>
      <c r="M9" s="118">
        <f>I20/1.3</f>
        <v>181.33269769230768</v>
      </c>
      <c r="N9" s="118">
        <f>I24/1.3</f>
        <v>174.03492076923075</v>
      </c>
      <c r="O9" s="118">
        <f>I28/1.3</f>
        <v>139.47390153846152</v>
      </c>
    </row>
    <row r="10" spans="1:15">
      <c r="A10" s="128">
        <v>2005</v>
      </c>
      <c r="B10" s="134">
        <v>379.72347499999995</v>
      </c>
      <c r="C10" s="134">
        <v>250.652255</v>
      </c>
      <c r="D10" s="133">
        <v>39.1</v>
      </c>
      <c r="G10" s="135">
        <f t="shared" si="0"/>
        <v>340.62347499999993</v>
      </c>
      <c r="H10" s="135">
        <f t="shared" si="1"/>
        <v>340.62347499999993</v>
      </c>
      <c r="I10" s="135">
        <f t="shared" si="2"/>
        <v>250.652255</v>
      </c>
    </row>
    <row r="11" spans="1:15">
      <c r="A11" s="128">
        <v>2006</v>
      </c>
      <c r="B11" s="134">
        <v>396.51620500000001</v>
      </c>
      <c r="C11" s="134">
        <v>260.16155400000002</v>
      </c>
      <c r="D11" s="133">
        <v>36.4</v>
      </c>
      <c r="G11" s="135">
        <f t="shared" si="0"/>
        <v>360.11620500000004</v>
      </c>
      <c r="H11" s="135">
        <f t="shared" si="1"/>
        <v>360.11620500000004</v>
      </c>
      <c r="I11" s="135">
        <f t="shared" si="2"/>
        <v>260.16155400000002</v>
      </c>
    </row>
    <row r="12" spans="1:15">
      <c r="A12" s="128">
        <v>2007</v>
      </c>
      <c r="B12" s="134">
        <v>414.31739600000003</v>
      </c>
      <c r="C12" s="134">
        <v>272.227735</v>
      </c>
      <c r="D12" s="133">
        <v>40.5</v>
      </c>
      <c r="G12" s="135">
        <f t="shared" si="0"/>
        <v>373.81739600000003</v>
      </c>
      <c r="H12" s="135">
        <f t="shared" si="1"/>
        <v>373.81739600000003</v>
      </c>
      <c r="I12" s="135">
        <f t="shared" si="2"/>
        <v>272.227735</v>
      </c>
    </row>
    <row r="13" spans="1:15">
      <c r="A13" s="128">
        <v>2008</v>
      </c>
      <c r="B13" s="134">
        <v>407.61017300000003</v>
      </c>
      <c r="C13" s="134">
        <v>277.80693500000001</v>
      </c>
      <c r="D13" s="133">
        <v>39.4</v>
      </c>
      <c r="G13" s="135">
        <f t="shared" si="0"/>
        <v>368.21017300000005</v>
      </c>
      <c r="H13" s="135">
        <f t="shared" si="1"/>
        <v>368.21017300000005</v>
      </c>
      <c r="I13" s="135">
        <f t="shared" si="2"/>
        <v>277.80693500000001</v>
      </c>
    </row>
    <row r="14" spans="1:15">
      <c r="A14" s="128">
        <v>2009</v>
      </c>
      <c r="B14" s="134">
        <v>410.08115999999995</v>
      </c>
      <c r="C14" s="134">
        <v>270.93823100000003</v>
      </c>
      <c r="D14" s="136">
        <v>36.5</v>
      </c>
      <c r="E14" s="137"/>
      <c r="G14" s="135">
        <f t="shared" si="0"/>
        <v>373.58115999999995</v>
      </c>
      <c r="H14" s="135">
        <f t="shared" si="1"/>
        <v>373.58115999999995</v>
      </c>
      <c r="I14" s="135">
        <f t="shared" si="2"/>
        <v>270.93823100000003</v>
      </c>
    </row>
    <row r="15" spans="1:15">
      <c r="A15" s="128">
        <v>2010</v>
      </c>
      <c r="B15" s="134">
        <v>408.34515399999998</v>
      </c>
      <c r="C15" s="134">
        <v>286.11423200000007</v>
      </c>
      <c r="D15" s="136">
        <v>37.9</v>
      </c>
      <c r="E15" s="137"/>
      <c r="G15" s="135">
        <f t="shared" si="0"/>
        <v>370.445154</v>
      </c>
      <c r="H15" s="135">
        <f t="shared" si="1"/>
        <v>370.445154</v>
      </c>
      <c r="I15" s="135">
        <f t="shared" si="2"/>
        <v>286.11423200000007</v>
      </c>
    </row>
    <row r="16" spans="1:15">
      <c r="A16" s="128">
        <v>2011</v>
      </c>
      <c r="B16" s="134">
        <v>375.39735200000001</v>
      </c>
      <c r="C16" s="134">
        <v>315.44541700000002</v>
      </c>
      <c r="D16" s="136">
        <v>34.658000000000001</v>
      </c>
      <c r="E16" s="137"/>
      <c r="G16" s="135">
        <f t="shared" si="0"/>
        <v>340.739352</v>
      </c>
      <c r="H16" s="135">
        <f t="shared" si="1"/>
        <v>340.739352</v>
      </c>
      <c r="I16" s="135">
        <f t="shared" si="2"/>
        <v>315.44541700000002</v>
      </c>
    </row>
    <row r="17" spans="1:9">
      <c r="A17" s="128">
        <v>2012</v>
      </c>
      <c r="B17" s="134">
        <v>383.62217900000002</v>
      </c>
      <c r="C17" s="134">
        <v>267.34594699999997</v>
      </c>
      <c r="D17" s="136">
        <v>28.876999999999999</v>
      </c>
      <c r="E17" s="137"/>
      <c r="G17" s="135">
        <f t="shared" si="0"/>
        <v>354.74517900000001</v>
      </c>
      <c r="H17" s="135">
        <f t="shared" si="1"/>
        <v>354.74517900000001</v>
      </c>
      <c r="I17" s="135">
        <f t="shared" si="2"/>
        <v>267.34594699999997</v>
      </c>
    </row>
    <row r="18" spans="1:9">
      <c r="A18" s="128">
        <v>2013</v>
      </c>
      <c r="B18" s="134">
        <v>382.97164799999996</v>
      </c>
      <c r="C18" s="134">
        <v>239.67224100000001</v>
      </c>
      <c r="D18" s="136">
        <v>31</v>
      </c>
      <c r="E18" s="137"/>
      <c r="G18" s="135">
        <f t="shared" si="0"/>
        <v>351.97164799999996</v>
      </c>
      <c r="H18" s="135">
        <f t="shared" si="1"/>
        <v>351.97164799999996</v>
      </c>
      <c r="I18" s="135">
        <f t="shared" si="2"/>
        <v>239.67224100000001</v>
      </c>
    </row>
    <row r="19" spans="1:9">
      <c r="A19" s="128">
        <v>2014</v>
      </c>
      <c r="B19" s="134">
        <v>365.56811300000004</v>
      </c>
      <c r="C19" s="134">
        <v>229.35162</v>
      </c>
      <c r="D19" s="136">
        <v>32</v>
      </c>
      <c r="E19" s="137"/>
      <c r="G19" s="135">
        <f t="shared" si="0"/>
        <v>333.56811300000004</v>
      </c>
      <c r="H19" s="135">
        <f t="shared" si="1"/>
        <v>333.56811300000004</v>
      </c>
      <c r="I19" s="135">
        <f t="shared" si="2"/>
        <v>229.35162</v>
      </c>
    </row>
    <row r="20" spans="1:9">
      <c r="A20" s="128">
        <v>2015</v>
      </c>
      <c r="B20" s="134">
        <v>345.79747100000003</v>
      </c>
      <c r="C20" s="134">
        <v>235.732507</v>
      </c>
      <c r="D20" s="136">
        <v>33.158801407254643</v>
      </c>
      <c r="E20" s="138">
        <v>0</v>
      </c>
      <c r="G20" s="135">
        <f t="shared" si="0"/>
        <v>312.63866959274537</v>
      </c>
      <c r="H20" s="135">
        <f t="shared" si="1"/>
        <v>312.63866959274537</v>
      </c>
      <c r="I20" s="135">
        <f t="shared" si="2"/>
        <v>235.732507</v>
      </c>
    </row>
    <row r="21" spans="1:9">
      <c r="A21" s="128">
        <v>2016</v>
      </c>
      <c r="B21" s="134">
        <v>324.834743</v>
      </c>
      <c r="C21" s="134">
        <v>236.02954199999999</v>
      </c>
      <c r="D21" s="139">
        <v>36</v>
      </c>
      <c r="E21" s="140">
        <v>0</v>
      </c>
      <c r="G21" s="135">
        <f t="shared" si="0"/>
        <v>288.834743</v>
      </c>
      <c r="H21" s="135">
        <f t="shared" si="1"/>
        <v>288.834743</v>
      </c>
      <c r="I21" s="135">
        <f t="shared" si="2"/>
        <v>236.02954199999999</v>
      </c>
    </row>
    <row r="22" spans="1:9">
      <c r="A22" s="128">
        <v>2017</v>
      </c>
      <c r="B22" s="134">
        <v>324.76721899999995</v>
      </c>
      <c r="C22" s="134">
        <v>238.01507000000001</v>
      </c>
      <c r="D22" s="139">
        <v>40</v>
      </c>
      <c r="E22" s="140">
        <v>0</v>
      </c>
      <c r="G22" s="135">
        <f t="shared" si="0"/>
        <v>284.76721899999995</v>
      </c>
      <c r="H22" s="135">
        <f t="shared" si="1"/>
        <v>284.76721899999995</v>
      </c>
      <c r="I22" s="135">
        <f t="shared" si="2"/>
        <v>238.01507000000001</v>
      </c>
    </row>
    <row r="23" spans="1:9">
      <c r="A23" s="128">
        <v>2018</v>
      </c>
      <c r="B23" s="134">
        <v>333.838618</v>
      </c>
      <c r="C23" s="134">
        <v>241.31583600000002</v>
      </c>
      <c r="D23" s="139">
        <v>40.858910590804321</v>
      </c>
      <c r="E23" s="140">
        <v>1</v>
      </c>
      <c r="G23" s="135">
        <f t="shared" si="0"/>
        <v>292.97970740919567</v>
      </c>
      <c r="H23" s="135">
        <f t="shared" si="1"/>
        <v>292.97970740919567</v>
      </c>
      <c r="I23" s="135">
        <f t="shared" si="2"/>
        <v>240.31583600000002</v>
      </c>
    </row>
    <row r="24" spans="1:9">
      <c r="A24" s="128">
        <v>2019</v>
      </c>
      <c r="B24" s="134">
        <v>340.48844400000002</v>
      </c>
      <c r="C24" s="134">
        <v>228.245397</v>
      </c>
      <c r="D24" s="139">
        <v>40</v>
      </c>
      <c r="E24" s="140">
        <v>2</v>
      </c>
      <c r="G24" s="135">
        <f t="shared" si="0"/>
        <v>300.48844400000002</v>
      </c>
      <c r="H24" s="135">
        <f t="shared" si="1"/>
        <v>300.48844400000002</v>
      </c>
      <c r="I24" s="135">
        <f t="shared" si="2"/>
        <v>226.245397</v>
      </c>
    </row>
    <row r="25" spans="1:9">
      <c r="A25" s="128">
        <v>2020</v>
      </c>
      <c r="B25" s="134">
        <v>283.76063300000004</v>
      </c>
      <c r="C25" s="134">
        <v>222.55311599999999</v>
      </c>
      <c r="D25" s="139">
        <v>34</v>
      </c>
      <c r="E25" s="140">
        <v>2</v>
      </c>
      <c r="G25" s="135">
        <f t="shared" si="0"/>
        <v>249.76063300000004</v>
      </c>
      <c r="H25" s="135">
        <f t="shared" si="1"/>
        <v>249.76063300000004</v>
      </c>
      <c r="I25" s="135">
        <f t="shared" si="2"/>
        <v>220.55311599999999</v>
      </c>
    </row>
    <row r="26" spans="1:9">
      <c r="A26" s="128">
        <v>2021</v>
      </c>
      <c r="B26" s="134">
        <v>318.66169400000001</v>
      </c>
      <c r="C26" s="134">
        <v>247.38658899999999</v>
      </c>
      <c r="D26" s="141">
        <v>39.5</v>
      </c>
      <c r="E26" s="142">
        <v>2</v>
      </c>
      <c r="G26" s="135">
        <f t="shared" si="0"/>
        <v>279.16169400000001</v>
      </c>
      <c r="H26" s="135">
        <f>G26-15</f>
        <v>264.16169400000001</v>
      </c>
      <c r="I26" s="135">
        <f>C26-E26-15</f>
        <v>230.38658899999999</v>
      </c>
    </row>
    <row r="27" spans="1:9">
      <c r="A27" s="128">
        <v>2022</v>
      </c>
      <c r="B27" s="143">
        <v>386.96191000000005</v>
      </c>
      <c r="C27" s="134">
        <v>241.71442999999999</v>
      </c>
      <c r="D27" s="141">
        <v>41</v>
      </c>
      <c r="E27" s="142">
        <v>3</v>
      </c>
      <c r="G27" s="135">
        <f t="shared" si="0"/>
        <v>345.96191000000005</v>
      </c>
      <c r="H27" s="135">
        <f>G27-35-10.4</f>
        <v>300.56191000000007</v>
      </c>
      <c r="I27" s="135">
        <f>C27-E27-35-10.4</f>
        <v>193.31442999999999</v>
      </c>
    </row>
    <row r="28" spans="1:9">
      <c r="A28" s="128">
        <v>2023</v>
      </c>
      <c r="B28" s="143">
        <v>363.42611299999999</v>
      </c>
      <c r="C28" s="134">
        <v>214.41607199999999</v>
      </c>
      <c r="D28" s="141">
        <f>D27*0.98</f>
        <v>40.18</v>
      </c>
      <c r="E28" s="142">
        <v>2.7</v>
      </c>
      <c r="G28" s="135">
        <f t="shared" si="0"/>
        <v>323.24611299999998</v>
      </c>
      <c r="H28" s="135">
        <f>G28-20-10.4</f>
        <v>292.846113</v>
      </c>
      <c r="I28" s="135">
        <f>C28-E28-10.4-20</f>
        <v>181.31607199999999</v>
      </c>
    </row>
    <row r="29" spans="1:9">
      <c r="B29" s="143"/>
      <c r="C29" s="143"/>
      <c r="D29" s="141"/>
      <c r="E29" s="142"/>
      <c r="G29" s="135"/>
      <c r="H29" s="135"/>
      <c r="I29" s="135"/>
    </row>
    <row r="30" spans="1:9">
      <c r="A30" s="144"/>
    </row>
  </sheetData>
  <mergeCells count="2">
    <mergeCell ref="K8:K9"/>
    <mergeCell ref="K6:K7"/>
  </mergeCell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A44FF-26A0-41EA-B957-BB4B06CC13CB}">
  <sheetPr>
    <tabColor theme="9" tint="-0.499984740745262"/>
  </sheetPr>
  <dimension ref="A1:S14"/>
  <sheetViews>
    <sheetView workbookViewId="0">
      <pane xSplit="2" ySplit="1" topLeftCell="C2" activePane="bottomRight" state="frozen"/>
      <selection pane="topRight" activeCell="C1" sqref="C1"/>
      <selection pane="bottomLeft" activeCell="A2" sqref="A2"/>
      <selection pane="bottomRight" activeCell="D29" sqref="D29"/>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25.33203125"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Secteurs!$B$2</f>
        <v>Élevage</v>
      </c>
      <c r="B2" t="str">
        <f>Produits!$B$3</f>
        <v>Veaux</v>
      </c>
      <c r="C2" s="67"/>
      <c r="E2" s="27" t="str">
        <f>Etiquettes!$C$7</f>
        <v>kt</v>
      </c>
      <c r="F2" s="111" t="str">
        <f>Etiquettes!$C$4</f>
        <v>Viande bovine</v>
      </c>
      <c r="G2" s="27" t="str">
        <f>Etiquettes!$C$6</f>
        <v>2015:2019:2023</v>
      </c>
      <c r="H2" s="27" t="str">
        <f>Etiquettes!$C$5</f>
        <v>France entière</v>
      </c>
      <c r="I2" s="111"/>
      <c r="J2"/>
      <c r="K2"/>
      <c r="L2" s="111"/>
      <c r="M2" s="27"/>
      <c r="N2" s="112"/>
      <c r="O2" s="27" t="str">
        <f>Etiquettes!$H$15</f>
        <v>Fiable</v>
      </c>
      <c r="P2" s="111" t="s">
        <v>663</v>
      </c>
      <c r="Q2" s="111" t="str">
        <f>Etiquettes!$J$17</f>
        <v>Donnée déterminée (par bilan matière)</v>
      </c>
      <c r="R2" s="220" t="s">
        <v>628</v>
      </c>
    </row>
    <row r="3" spans="1:19">
      <c r="A3" t="str">
        <f>Secteurs!$B$2</f>
        <v>Élevage</v>
      </c>
      <c r="B3" t="str">
        <f>Produits!$B$4</f>
        <v>Gros bovins</v>
      </c>
      <c r="C3" s="67"/>
      <c r="E3" s="27" t="str">
        <f>Etiquettes!$C$7</f>
        <v>kt</v>
      </c>
      <c r="F3" s="111" t="str">
        <f>Etiquettes!$C$4</f>
        <v>Viande bovine</v>
      </c>
      <c r="G3" s="27" t="str">
        <f>Etiquettes!$C$6</f>
        <v>2015:2019:2023</v>
      </c>
      <c r="H3" s="27" t="str">
        <f>Etiquettes!$C$5</f>
        <v>France entière</v>
      </c>
      <c r="I3" s="111"/>
      <c r="J3"/>
      <c r="K3"/>
      <c r="L3" s="111"/>
      <c r="M3" s="27"/>
      <c r="N3" s="112"/>
      <c r="O3" s="27" t="str">
        <f>Etiquettes!$H$15</f>
        <v>Fiable</v>
      </c>
      <c r="P3" s="111" t="s">
        <v>663</v>
      </c>
      <c r="Q3" s="111" t="str">
        <f>Etiquettes!$J$17</f>
        <v>Donnée déterminée (par bilan matière)</v>
      </c>
      <c r="R3" s="205"/>
    </row>
    <row r="4" spans="1:19">
      <c r="A4" t="str">
        <f>Produits!$B$13</f>
        <v>Cuirs</v>
      </c>
      <c r="B4" t="str">
        <f>Secteurs!$B$26</f>
        <v>Biomatériaux</v>
      </c>
      <c r="C4" s="67"/>
      <c r="E4" s="27" t="str">
        <f>Etiquettes!$C$7</f>
        <v>kt</v>
      </c>
      <c r="F4" s="111" t="str">
        <f>Etiquettes!$C$4</f>
        <v>Viande bovine</v>
      </c>
      <c r="G4" s="27" t="str">
        <f>Etiquettes!$C$6</f>
        <v>2015:2019:2023</v>
      </c>
      <c r="H4" s="27" t="str">
        <f>Etiquettes!$C$5</f>
        <v>France entière</v>
      </c>
      <c r="I4" s="111"/>
      <c r="J4" s="27"/>
      <c r="K4"/>
      <c r="L4" s="111"/>
      <c r="M4" s="27"/>
      <c r="N4" s="112"/>
      <c r="O4" s="27" t="str">
        <f>Etiquettes!$J$15</f>
        <v>Probable</v>
      </c>
      <c r="P4" s="111" t="s">
        <v>663</v>
      </c>
      <c r="Q4" s="111" t="str">
        <f>Etiquettes!$J$17</f>
        <v>Donnée déterminée (par bilan matière)</v>
      </c>
      <c r="R4" s="205"/>
    </row>
    <row r="5" spans="1:19">
      <c r="A5" t="str">
        <f>Produits!$B$15</f>
        <v>C1</v>
      </c>
      <c r="B5" t="str">
        <f>Secteurs!$B$8</f>
        <v>Traitement thermique C1/C2</v>
      </c>
      <c r="C5" s="67"/>
      <c r="E5" s="27" t="str">
        <f>Etiquettes!$C$7</f>
        <v>kt</v>
      </c>
      <c r="F5" s="111" t="str">
        <f>Etiquettes!$C$4</f>
        <v>Viande bovine</v>
      </c>
      <c r="G5" s="27" t="str">
        <f>Etiquettes!$C$6</f>
        <v>2015:2019:2023</v>
      </c>
      <c r="H5" s="27" t="str">
        <f>Etiquettes!$C$5</f>
        <v>France entière</v>
      </c>
      <c r="I5" s="111"/>
      <c r="J5"/>
      <c r="K5"/>
      <c r="L5" s="111"/>
      <c r="M5" s="27"/>
      <c r="N5" s="112"/>
      <c r="O5" s="27" t="str">
        <f>Etiquettes!$J$15</f>
        <v>Probable</v>
      </c>
      <c r="P5" s="111" t="s">
        <v>663</v>
      </c>
      <c r="Q5" s="111" t="str">
        <f>Etiquettes!$J$17</f>
        <v>Donnée déterminée (par bilan matière)</v>
      </c>
      <c r="R5" s="205"/>
    </row>
    <row r="6" spans="1:19">
      <c r="A6" t="str">
        <f>Produits!$B$16</f>
        <v>C2</v>
      </c>
      <c r="B6" t="str">
        <f>Secteurs!$B$8</f>
        <v>Traitement thermique C1/C2</v>
      </c>
      <c r="C6" s="67"/>
      <c r="E6" s="27" t="str">
        <f>Etiquettes!$C$7</f>
        <v>kt</v>
      </c>
      <c r="F6" s="111" t="str">
        <f>Etiquettes!$C$4</f>
        <v>Viande bovine</v>
      </c>
      <c r="G6" s="27" t="str">
        <f>Etiquettes!$C$6</f>
        <v>2015:2019:2023</v>
      </c>
      <c r="H6" s="27" t="str">
        <f>Etiquettes!$C$5</f>
        <v>France entière</v>
      </c>
      <c r="I6" s="111"/>
      <c r="J6"/>
      <c r="K6"/>
      <c r="L6" s="111"/>
      <c r="M6" s="27"/>
      <c r="N6" s="112"/>
      <c r="O6" s="27" t="str">
        <f>Etiquettes!$J$15</f>
        <v>Probable</v>
      </c>
      <c r="P6" s="111" t="s">
        <v>663</v>
      </c>
      <c r="Q6" s="111" t="str">
        <f>Etiquettes!$J$17</f>
        <v>Donnée déterminée (par bilan matière)</v>
      </c>
      <c r="R6" s="205"/>
    </row>
    <row r="7" spans="1:19">
      <c r="A7" t="str">
        <f>Produits!$B$17</f>
        <v>C3 et alimentaire</v>
      </c>
      <c r="B7" t="str">
        <f>Secteurs!$B$9</f>
        <v>Traitement thermique C3 et alimentaire</v>
      </c>
      <c r="C7" s="67"/>
      <c r="E7" s="27" t="str">
        <f>Etiquettes!$C$7</f>
        <v>kt</v>
      </c>
      <c r="F7" s="111" t="str">
        <f>Etiquettes!$C$4</f>
        <v>Viande bovine</v>
      </c>
      <c r="G7" s="27" t="str">
        <f>Etiquettes!$C$6</f>
        <v>2015:2019:2023</v>
      </c>
      <c r="H7" s="27" t="str">
        <f>Etiquettes!$C$5</f>
        <v>France entière</v>
      </c>
      <c r="I7" s="111"/>
      <c r="J7"/>
      <c r="K7"/>
      <c r="L7" s="111"/>
      <c r="M7" s="27"/>
      <c r="N7" s="112"/>
      <c r="O7" s="27" t="str">
        <f>Etiquettes!$J$15</f>
        <v>Probable</v>
      </c>
      <c r="P7" s="111" t="s">
        <v>663</v>
      </c>
      <c r="Q7" s="111" t="str">
        <f>Etiquettes!$J$17</f>
        <v>Donnée déterminée (par bilan matière)</v>
      </c>
      <c r="R7" s="205"/>
    </row>
    <row r="8" spans="1:19">
      <c r="A8" t="str">
        <f>Secteurs!$B$8</f>
        <v>Traitement thermique C1/C2</v>
      </c>
      <c r="B8" t="str">
        <f>Produits!$B$24</f>
        <v>Farines animales</v>
      </c>
      <c r="C8" s="67"/>
      <c r="E8" s="27" t="str">
        <f>Etiquettes!$C$7</f>
        <v>kt</v>
      </c>
      <c r="F8" s="111" t="str">
        <f>Etiquettes!$C$4</f>
        <v>Viande bovine</v>
      </c>
      <c r="G8" s="27" t="str">
        <f>Etiquettes!$C$6</f>
        <v>2015:2019:2023</v>
      </c>
      <c r="H8" s="27" t="str">
        <f>Etiquettes!$C$5</f>
        <v>France entière</v>
      </c>
      <c r="I8" s="111"/>
      <c r="J8" s="27"/>
      <c r="K8"/>
      <c r="L8" s="111"/>
      <c r="M8" s="27"/>
      <c r="N8" s="112"/>
      <c r="O8" s="10" t="str">
        <f>Etiquettes!$K$15</f>
        <v>Approximative</v>
      </c>
      <c r="P8" s="111" t="s">
        <v>663</v>
      </c>
      <c r="Q8" s="111" t="str">
        <f>Etiquettes!$J$17</f>
        <v>Donnée déterminée (par bilan matière)</v>
      </c>
      <c r="R8" s="205"/>
    </row>
    <row r="9" spans="1:19">
      <c r="A9" t="str">
        <f>Secteurs!$B$8</f>
        <v>Traitement thermique C1/C2</v>
      </c>
      <c r="B9" t="str">
        <f>Produits!$B$25</f>
        <v>Graisses animales</v>
      </c>
      <c r="C9" s="67"/>
      <c r="E9" s="27" t="str">
        <f>Etiquettes!$C$7</f>
        <v>kt</v>
      </c>
      <c r="F9" s="111" t="str">
        <f>Etiquettes!$C$4</f>
        <v>Viande bovine</v>
      </c>
      <c r="G9" s="27" t="str">
        <f>Etiquettes!$C$6</f>
        <v>2015:2019:2023</v>
      </c>
      <c r="H9" s="27" t="str">
        <f>Etiquettes!$C$5</f>
        <v>France entière</v>
      </c>
      <c r="I9" s="111"/>
      <c r="J9"/>
      <c r="K9"/>
      <c r="L9" s="111"/>
      <c r="M9" s="27"/>
      <c r="N9" s="112"/>
      <c r="O9" s="10" t="str">
        <f>Etiquettes!$K$15</f>
        <v>Approximative</v>
      </c>
      <c r="P9" s="111" t="s">
        <v>663</v>
      </c>
      <c r="Q9" s="111" t="str">
        <f>Etiquettes!$J$17</f>
        <v>Donnée déterminée (par bilan matière)</v>
      </c>
      <c r="R9" s="205"/>
    </row>
    <row r="10" spans="1:19">
      <c r="A10" t="str">
        <f>Secteurs!$B$8</f>
        <v>Traitement thermique C1/C2</v>
      </c>
      <c r="B10" t="str">
        <f>Produits!$B$31</f>
        <v>Eau - traitement thermique</v>
      </c>
      <c r="C10" s="67"/>
      <c r="E10" s="27" t="str">
        <f>Etiquettes!$C$7</f>
        <v>kt</v>
      </c>
      <c r="F10" s="111" t="str">
        <f>Etiquettes!$C$4</f>
        <v>Viande bovine</v>
      </c>
      <c r="G10" s="27" t="str">
        <f>Etiquettes!$C$6</f>
        <v>2015:2019:2023</v>
      </c>
      <c r="H10" s="27" t="str">
        <f>Etiquettes!$C$5</f>
        <v>France entière</v>
      </c>
      <c r="I10" s="111"/>
      <c r="J10"/>
      <c r="K10"/>
      <c r="L10" s="111"/>
      <c r="M10" s="27"/>
      <c r="N10" s="112"/>
      <c r="O10" s="10" t="str">
        <f>Etiquettes!$K$15</f>
        <v>Approximative</v>
      </c>
      <c r="P10" s="111" t="s">
        <v>663</v>
      </c>
      <c r="Q10" s="111" t="str">
        <f>Etiquettes!$J$17</f>
        <v>Donnée déterminée (par bilan matière)</v>
      </c>
      <c r="R10" s="205"/>
    </row>
    <row r="11" spans="1:19">
      <c r="A11" t="str">
        <f>Secteurs!$B$9</f>
        <v>Traitement thermique C3 et alimentaire</v>
      </c>
      <c r="B11" t="str">
        <f>Produits!$B$27</f>
        <v>Protéines animales transformées</v>
      </c>
      <c r="C11" s="67"/>
      <c r="E11" s="27" t="str">
        <f>Etiquettes!$C$7</f>
        <v>kt</v>
      </c>
      <c r="F11" s="111" t="str">
        <f>Etiquettes!$C$4</f>
        <v>Viande bovine</v>
      </c>
      <c r="G11" s="27" t="str">
        <f>Etiquettes!$C$6</f>
        <v>2015:2019:2023</v>
      </c>
      <c r="H11" s="27" t="str">
        <f>Etiquettes!$C$5</f>
        <v>France entière</v>
      </c>
      <c r="I11" s="111"/>
      <c r="J11"/>
      <c r="K11"/>
      <c r="L11" s="111"/>
      <c r="M11" s="27"/>
      <c r="N11" s="112"/>
      <c r="O11" s="10" t="str">
        <f>Etiquettes!$K$15</f>
        <v>Approximative</v>
      </c>
      <c r="P11" s="111" t="s">
        <v>663</v>
      </c>
      <c r="Q11" s="111" t="str">
        <f>Etiquettes!$J$17</f>
        <v>Donnée déterminée (par bilan matière)</v>
      </c>
      <c r="R11" s="205"/>
    </row>
    <row r="12" spans="1:19">
      <c r="A12" t="str">
        <f>Secteurs!$B$9</f>
        <v>Traitement thermique C3 et alimentaire</v>
      </c>
      <c r="B12" t="str">
        <f>Produits!$B$28</f>
        <v>Corps gras animaux</v>
      </c>
      <c r="C12" s="67"/>
      <c r="E12" s="27" t="str">
        <f>Etiquettes!$C$7</f>
        <v>kt</v>
      </c>
      <c r="F12" s="111" t="str">
        <f>Etiquettes!$C$4</f>
        <v>Viande bovine</v>
      </c>
      <c r="G12" s="27" t="str">
        <f>Etiquettes!$C$6</f>
        <v>2015:2019:2023</v>
      </c>
      <c r="H12" s="27" t="str">
        <f>Etiquettes!$C$5</f>
        <v>France entière</v>
      </c>
      <c r="I12" s="111"/>
      <c r="J12" s="27"/>
      <c r="K12"/>
      <c r="L12" s="111"/>
      <c r="M12" s="27"/>
      <c r="N12" s="112"/>
      <c r="O12" s="10" t="str">
        <f>Etiquettes!$K$15</f>
        <v>Approximative</v>
      </c>
      <c r="P12" s="111" t="s">
        <v>663</v>
      </c>
      <c r="Q12" s="111" t="str">
        <f>Etiquettes!$J$17</f>
        <v>Donnée déterminée (par bilan matière)</v>
      </c>
      <c r="R12" s="205"/>
    </row>
    <row r="13" spans="1:19">
      <c r="A13" t="str">
        <f>Secteurs!$B$9</f>
        <v>Traitement thermique C3 et alimentaire</v>
      </c>
      <c r="B13" t="str">
        <f>Produits!$B$31</f>
        <v>Eau - traitement thermique</v>
      </c>
      <c r="C13" s="67"/>
      <c r="E13" s="27" t="str">
        <f>Etiquettes!$C$7</f>
        <v>kt</v>
      </c>
      <c r="F13" s="111" t="str">
        <f>Etiquettes!$C$4</f>
        <v>Viande bovine</v>
      </c>
      <c r="G13" s="27" t="str">
        <f>Etiquettes!$C$6</f>
        <v>2015:2019:2023</v>
      </c>
      <c r="H13" s="27" t="str">
        <f>Etiquettes!$C$5</f>
        <v>France entière</v>
      </c>
      <c r="I13" s="111"/>
      <c r="J13"/>
      <c r="K13"/>
      <c r="L13" s="111"/>
      <c r="M13" s="27"/>
      <c r="N13" s="112"/>
      <c r="O13" s="10" t="str">
        <f>Etiquettes!$K$15</f>
        <v>Approximative</v>
      </c>
      <c r="P13" s="111" t="s">
        <v>663</v>
      </c>
      <c r="Q13" s="111" t="str">
        <f>Etiquettes!$J$17</f>
        <v>Donnée déterminée (par bilan matière)</v>
      </c>
      <c r="R13" s="205"/>
    </row>
    <row r="14" spans="1:19">
      <c r="C14" s="67"/>
    </row>
  </sheetData>
  <mergeCells count="1">
    <mergeCell ref="R2:R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EE3-AB75-4360-8514-5D49B8865711}">
  <dimension ref="B2:E26"/>
  <sheetViews>
    <sheetView workbookViewId="0">
      <selection activeCell="W39" sqref="W39"/>
    </sheetView>
  </sheetViews>
  <sheetFormatPr baseColWidth="10" defaultRowHeight="14.4"/>
  <sheetData>
    <row r="2" spans="2:4">
      <c r="B2" t="s">
        <v>538</v>
      </c>
    </row>
    <row r="4" spans="2:4">
      <c r="B4" t="s">
        <v>539</v>
      </c>
    </row>
    <row r="5" spans="2:4">
      <c r="B5" t="s">
        <v>540</v>
      </c>
      <c r="C5" s="67">
        <f>Données!C6*'Anatomie - Blézat'!D21</f>
        <v>104.55969999999999</v>
      </c>
    </row>
    <row r="6" spans="2:4">
      <c r="B6" t="s">
        <v>7</v>
      </c>
      <c r="C6" s="67">
        <f>Données!C7*'Anatomie - Blézat'!D8</f>
        <v>799.71731891891886</v>
      </c>
    </row>
    <row r="7" spans="2:4">
      <c r="B7" t="s">
        <v>541</v>
      </c>
      <c r="C7" s="67">
        <f>C5+C6</f>
        <v>904.27701891891888</v>
      </c>
    </row>
    <row r="9" spans="2:4">
      <c r="B9" t="s">
        <v>542</v>
      </c>
    </row>
    <row r="10" spans="2:4">
      <c r="B10" t="s">
        <v>543</v>
      </c>
      <c r="C10" s="67">
        <f>'Fabrication - PRODCOM'!E11/10^6</f>
        <v>362.26987600000001</v>
      </c>
      <c r="D10" s="102">
        <f>C10/'calcul perte de volume carcasse'!$C$13</f>
        <v>0.36805823025173806</v>
      </c>
    </row>
    <row r="11" spans="2:4">
      <c r="B11" t="s">
        <v>544</v>
      </c>
      <c r="C11" s="67">
        <f>'Données  '!C9</f>
        <v>395.409784</v>
      </c>
      <c r="D11" s="102">
        <f>'Données  '!C9/'calcul perte de volume carcasse'!$C$13</f>
        <v>0.40172764826645979</v>
      </c>
    </row>
    <row r="12" spans="2:4">
      <c r="B12" t="s">
        <v>545</v>
      </c>
      <c r="C12" s="67">
        <f>'Données  '!C10</f>
        <v>226.593605</v>
      </c>
      <c r="D12" s="102">
        <f>'Données  '!C10/'calcul perte de volume carcasse'!$C$13</f>
        <v>0.23021412148180209</v>
      </c>
    </row>
    <row r="13" spans="2:4">
      <c r="B13" t="s">
        <v>541</v>
      </c>
      <c r="C13" s="67">
        <f>SUM(C10:C12)</f>
        <v>984.27326500000004</v>
      </c>
      <c r="D13" s="102">
        <f>SUM(D10:D12)</f>
        <v>1</v>
      </c>
    </row>
    <row r="16" spans="2:4">
      <c r="B16" t="s">
        <v>546</v>
      </c>
    </row>
    <row r="17" spans="2:5">
      <c r="B17" t="s">
        <v>543</v>
      </c>
      <c r="C17" s="67">
        <f>((Données!$C$7*'Anatomie - Blézat'!D7)+(Données!$C$6*'Anatomie - Blézat'!D20))*D10</f>
        <v>478.73886096188937</v>
      </c>
      <c r="E17" s="70"/>
    </row>
    <row r="18" spans="2:5">
      <c r="B18" t="s">
        <v>544</v>
      </c>
      <c r="C18" s="67">
        <f>((Données!$C$7*'Anatomie - Blézat'!$D$8)+(Données!$C$6*'Anatomie - Blézat'!$D$21))*D11</f>
        <v>363.27308019170226</v>
      </c>
    </row>
    <row r="19" spans="2:5">
      <c r="B19" t="s">
        <v>545</v>
      </c>
      <c r="C19" s="67">
        <f>((Données!$C$7*'Anatomie - Blézat'!$D$8)+(Données!$C$6*'Anatomie - Blézat'!$D$21))*D12</f>
        <v>208.17733948660185</v>
      </c>
    </row>
    <row r="20" spans="2:5">
      <c r="B20" t="s">
        <v>541</v>
      </c>
      <c r="C20" s="67">
        <f>SUM(C17:C19)</f>
        <v>1050.1892806401934</v>
      </c>
    </row>
    <row r="22" spans="2:5">
      <c r="E22" s="70">
        <f>C13-C7</f>
        <v>79.996246081081154</v>
      </c>
    </row>
    <row r="24" spans="2:5">
      <c r="B24" s="101" t="s">
        <v>548</v>
      </c>
    </row>
    <row r="25" spans="2:5">
      <c r="B25" t="s">
        <v>549</v>
      </c>
      <c r="C25" s="70">
        <f>C20-C7</f>
        <v>145.91226172127449</v>
      </c>
      <c r="D25" t="s">
        <v>550</v>
      </c>
    </row>
    <row r="26" spans="2:5">
      <c r="B26" t="s">
        <v>551</v>
      </c>
      <c r="C26" s="70">
        <f>C20-C13</f>
        <v>65.916015640193336</v>
      </c>
      <c r="D26" t="s">
        <v>552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N17"/>
  <sheetViews>
    <sheetView workbookViewId="0">
      <pane xSplit="3" ySplit="1" topLeftCell="D2" activePane="bottomRight" state="frozen"/>
      <selection pane="topRight" activeCell="D1" sqref="D1"/>
      <selection pane="bottomLeft" activeCell="A2" sqref="A2"/>
      <selection pane="bottomRight" activeCell="A15" sqref="A15:XFD17"/>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14" ht="38.4" thickBot="1">
      <c r="A1" s="30" t="s">
        <v>44</v>
      </c>
      <c r="B1" s="31" t="s">
        <v>45</v>
      </c>
      <c r="C1" s="31" t="s">
        <v>46</v>
      </c>
      <c r="D1" s="31" t="s">
        <v>47</v>
      </c>
      <c r="E1" s="31" t="s">
        <v>48</v>
      </c>
      <c r="F1" s="32" t="s">
        <v>49</v>
      </c>
      <c r="G1" s="31" t="s">
        <v>50</v>
      </c>
    </row>
    <row r="2" spans="1:14">
      <c r="A2" t="s">
        <v>52</v>
      </c>
      <c r="B2" s="33" t="s">
        <v>51</v>
      </c>
      <c r="C2" s="11" t="s">
        <v>629</v>
      </c>
      <c r="F2" t="s">
        <v>630</v>
      </c>
      <c r="G2" s="13" t="s">
        <v>631</v>
      </c>
      <c r="H2" s="108" t="s">
        <v>467</v>
      </c>
      <c r="I2" s="149" t="s">
        <v>468</v>
      </c>
      <c r="J2" s="150" t="s">
        <v>469</v>
      </c>
      <c r="K2" s="151" t="s">
        <v>632</v>
      </c>
      <c r="L2" s="107" t="s">
        <v>633</v>
      </c>
      <c r="N2" s="11"/>
    </row>
    <row r="3" spans="1:14">
      <c r="A3" t="s">
        <v>536</v>
      </c>
      <c r="B3" s="33" t="s">
        <v>51</v>
      </c>
      <c r="C3" s="11" t="str">
        <f>_xlfn.TEXTJOIN(":",TRUE,H3:M3)</f>
        <v>Bovins finis:Viandes:Autres produits:Coproduits bruts:Coproduits transformés:Eau</v>
      </c>
      <c r="F3" t="s">
        <v>635</v>
      </c>
      <c r="G3" s="13" t="s">
        <v>53</v>
      </c>
      <c r="H3" s="108" t="s">
        <v>6</v>
      </c>
      <c r="I3" s="105" t="s">
        <v>462</v>
      </c>
      <c r="J3" s="107" t="s">
        <v>463</v>
      </c>
      <c r="K3" s="109" t="s">
        <v>465</v>
      </c>
      <c r="L3" s="106" t="s">
        <v>464</v>
      </c>
      <c r="M3" s="15" t="s">
        <v>466</v>
      </c>
    </row>
    <row r="4" spans="1:14">
      <c r="A4" s="11" t="s">
        <v>473</v>
      </c>
      <c r="B4" s="34" t="s">
        <v>54</v>
      </c>
      <c r="C4" s="11" t="s">
        <v>474</v>
      </c>
      <c r="G4" s="13"/>
    </row>
    <row r="5" spans="1:14">
      <c r="A5" t="s">
        <v>475</v>
      </c>
      <c r="B5" s="34" t="s">
        <v>54</v>
      </c>
      <c r="C5" s="152" t="s">
        <v>143</v>
      </c>
      <c r="G5" s="13" t="s">
        <v>634</v>
      </c>
    </row>
    <row r="6" spans="1:14">
      <c r="A6" s="11" t="s">
        <v>57</v>
      </c>
      <c r="B6" s="34" t="s">
        <v>54</v>
      </c>
      <c r="C6" s="11" t="str">
        <f>_xlfn.TEXTJOIN(":",TRUE,H6:M6)</f>
        <v>2015:2019:2023</v>
      </c>
      <c r="G6" s="13" t="s">
        <v>55</v>
      </c>
      <c r="H6">
        <v>2015</v>
      </c>
      <c r="I6">
        <v>2019</v>
      </c>
      <c r="J6">
        <v>2023</v>
      </c>
    </row>
    <row r="7" spans="1:14">
      <c r="A7" t="s">
        <v>33</v>
      </c>
      <c r="B7" s="34" t="s">
        <v>54</v>
      </c>
      <c r="C7" t="s">
        <v>37</v>
      </c>
      <c r="G7" s="13"/>
    </row>
    <row r="8" spans="1:14">
      <c r="A8" t="s">
        <v>476</v>
      </c>
      <c r="B8" s="103" t="s">
        <v>56</v>
      </c>
      <c r="G8" t="e" cm="1">
        <f t="array" aca="1" ref="G8" ca="1">IF(IF(INDIRECT("'"&amp;Etiquettes!G13&amp;"'"&amp;"!n1")=$A$8,_xlfn.TEXTJOIN(":",TRUE,_xlfn.UNIQUE(INDIRECT("'"&amp;Etiquettes!G13&amp;"'"&amp;"!n2:n1000"))),"")="0","",IF(INDIRECT("'"&amp;Etiquettes!G13&amp;"'"&amp;"!n1")=$A$8,_xlfn.TEXTJOIN(":",TRUE,_xlfn.UNIQUE(INDIRECT("'"&amp;Etiquettes!G13&amp;"'"&amp;"!n2:n1000"))),""))</f>
        <v>#REF!</v>
      </c>
    </row>
    <row r="9" spans="1:14">
      <c r="A9" t="s">
        <v>35</v>
      </c>
      <c r="B9" s="103" t="s">
        <v>56</v>
      </c>
      <c r="G9" t="e" cm="1">
        <f t="array" aca="1" ref="G9" ca="1">IF(IF(INDIRECT("'"&amp;Etiquettes!G13&amp;"'"&amp;"!k1")=$A$9,_xlfn.TEXTJOIN(":",TRUE,_xlfn.UNIQUE(INDIRECT("'"&amp;Etiquettes!G13&amp;"'"&amp;"!k2:k1000"))),"")="0","",IF(INDIRECT("'"&amp;Etiquettes!G13&amp;"'"&amp;"!k1")=$A$9,_xlfn.TEXTJOIN(":",TRUE,_xlfn.UNIQUE(INDIRECT("'"&amp;Etiquettes!G13&amp;"'"&amp;"!k2:k1000"))),""))</f>
        <v>#REF!</v>
      </c>
    </row>
    <row r="10" spans="1:14">
      <c r="A10" t="s">
        <v>4</v>
      </c>
      <c r="B10" s="103" t="s">
        <v>56</v>
      </c>
      <c r="G10" t="e" cm="1">
        <f t="array" aca="1" ref="G10" ca="1">IF(IF(INDIRECT("'"&amp;Etiquettes!G13&amp;"'"&amp;"!j1")=$A$10,_xlfn.TEXTJOIN(":",TRUE,_xlfn.UNIQUE(INDIRECT("'"&amp;Etiquettes!G13&amp;"'"&amp;"!j2:j1000"))),"")="0","",IF(INDIRECT("'"&amp;Etiquettes!G13&amp;"'"&amp;"!j1")=$A$10,_xlfn.TEXTJOIN(":",TRUE,_xlfn.UNIQUE(INDIRECT("'"&amp;Etiquettes!G13&amp;"'"&amp;"!j2:j1000"))),""))</f>
        <v>#REF!</v>
      </c>
    </row>
    <row r="11" spans="1:14">
      <c r="A11" t="s">
        <v>477</v>
      </c>
      <c r="B11" s="103" t="s">
        <v>56</v>
      </c>
      <c r="C11" s="11" t="s">
        <v>636</v>
      </c>
      <c r="F11" t="s">
        <v>637</v>
      </c>
      <c r="G11" s="152" t="s">
        <v>638</v>
      </c>
      <c r="H11" s="108" t="s">
        <v>478</v>
      </c>
      <c r="I11" s="149" t="s">
        <v>479</v>
      </c>
      <c r="J11" s="107" t="s">
        <v>480</v>
      </c>
    </row>
    <row r="12" spans="1:14">
      <c r="A12" t="s">
        <v>43</v>
      </c>
      <c r="B12" s="103" t="s">
        <v>56</v>
      </c>
      <c r="G12" t="e" cm="1">
        <f t="array" aca="1" ref="G12" ca="1">IF(IF(INDIRECT("'"&amp;Etiquettes!G13&amp;"'"&amp;"!i1")=$A$12,_xlfn.TEXTJOIN(":",TRUE,_xlfn.UNIQUE(INDIRECT("'"&amp;Etiquettes!G13&amp;"'"&amp;"!i2:i1000"))),"")="0","",IF(INDIRECT("'"&amp;Etiquettes!G13&amp;"'"&amp;"!i1")=$A$12,_xlfn.TEXTJOIN(":",TRUE,_xlfn.UNIQUE(INDIRECT("'"&amp;Etiquettes!G13&amp;"'"&amp;"!i2:i1000"))),""))</f>
        <v>#REF!</v>
      </c>
    </row>
    <row r="13" spans="1:14">
      <c r="A13" t="s">
        <v>481</v>
      </c>
      <c r="B13" s="103" t="s">
        <v>56</v>
      </c>
      <c r="G13" s="152" t="s">
        <v>639</v>
      </c>
    </row>
    <row r="14" spans="1:14">
      <c r="A14" t="s">
        <v>482</v>
      </c>
      <c r="B14" s="103" t="s">
        <v>56</v>
      </c>
      <c r="C14" t="s">
        <v>483</v>
      </c>
      <c r="F14" t="s">
        <v>484</v>
      </c>
    </row>
    <row r="15" spans="1:14">
      <c r="A15" s="11" t="s">
        <v>485</v>
      </c>
      <c r="B15" s="103" t="s">
        <v>56</v>
      </c>
      <c r="C15" s="11" t="s">
        <v>640</v>
      </c>
      <c r="F15" t="s">
        <v>641</v>
      </c>
      <c r="G15" s="13" t="s">
        <v>642</v>
      </c>
      <c r="H15" s="145" t="s">
        <v>643</v>
      </c>
      <c r="I15" s="146" t="s">
        <v>644</v>
      </c>
      <c r="J15" s="110" t="s">
        <v>645</v>
      </c>
      <c r="K15" s="147" t="s">
        <v>646</v>
      </c>
      <c r="L15" s="148" t="s">
        <v>647</v>
      </c>
    </row>
    <row r="16" spans="1:14" s="49" customFormat="1">
      <c r="A16" s="153" t="s">
        <v>648</v>
      </c>
      <c r="B16" s="103" t="s">
        <v>56</v>
      </c>
      <c r="C16" s="11" t="s">
        <v>649</v>
      </c>
      <c r="D16" s="153"/>
      <c r="F16" s="49" t="s">
        <v>650</v>
      </c>
      <c r="H16" s="150" t="s">
        <v>651</v>
      </c>
      <c r="I16" s="154" t="s">
        <v>652</v>
      </c>
      <c r="J16" s="155" t="s">
        <v>653</v>
      </c>
      <c r="K16" s="156" t="s">
        <v>654</v>
      </c>
      <c r="L16" s="157" t="s">
        <v>655</v>
      </c>
    </row>
    <row r="17" spans="1:11" s="49" customFormat="1">
      <c r="A17" s="153" t="s">
        <v>656</v>
      </c>
      <c r="B17" s="103" t="s">
        <v>56</v>
      </c>
      <c r="C17" s="11" t="s">
        <v>657</v>
      </c>
      <c r="D17" s="153"/>
      <c r="F17" s="49" t="s">
        <v>658</v>
      </c>
      <c r="H17" s="150" t="s">
        <v>659</v>
      </c>
      <c r="I17" s="155" t="s">
        <v>660</v>
      </c>
      <c r="J17" s="156" t="s">
        <v>661</v>
      </c>
      <c r="K17" s="157" t="s">
        <v>662</v>
      </c>
    </row>
  </sheetData>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H31"/>
  <sheetViews>
    <sheetView workbookViewId="0">
      <pane xSplit="2" ySplit="1" topLeftCell="C2" activePane="bottomRight" state="frozen"/>
      <selection pane="topRight" activeCell="C1" sqref="C1"/>
      <selection pane="bottomLeft" activeCell="A2" sqref="A2"/>
      <selection pane="bottomRight" activeCell="F1" sqref="F1"/>
    </sheetView>
  </sheetViews>
  <sheetFormatPr baseColWidth="10" defaultColWidth="9.109375" defaultRowHeight="14.4"/>
  <cols>
    <col min="1" max="1" width="15.6640625" style="10" customWidth="1"/>
    <col min="2" max="2" width="61.6640625" bestFit="1" customWidth="1"/>
    <col min="3" max="4" width="17.109375" style="10" customWidth="1"/>
  </cols>
  <sheetData>
    <row r="1" spans="1:8" ht="38.4" thickBot="1">
      <c r="A1" s="1" t="s">
        <v>0</v>
      </c>
      <c r="B1" s="2" t="s">
        <v>1</v>
      </c>
      <c r="C1" s="2" t="s">
        <v>2</v>
      </c>
      <c r="D1" t="str">
        <f>Etiquettes!$A$2</f>
        <v>Type de matière</v>
      </c>
      <c r="E1" t="str">
        <f>Etiquettes!$A$3</f>
        <v>Type de matière - viande</v>
      </c>
      <c r="F1" t="s">
        <v>589</v>
      </c>
      <c r="G1" t="s">
        <v>38</v>
      </c>
      <c r="H1" t="s">
        <v>590</v>
      </c>
    </row>
    <row r="2" spans="1:8">
      <c r="A2" s="10">
        <v>1</v>
      </c>
      <c r="B2" t="s">
        <v>59</v>
      </c>
      <c r="D2" s="10" t="str">
        <f>Etiquettes!$H$2</f>
        <v>Matière première</v>
      </c>
      <c r="E2" t="str">
        <f>Etiquettes!$H$3</f>
        <v>Bovins finis</v>
      </c>
      <c r="F2" s="12">
        <v>1</v>
      </c>
      <c r="H2" s="12"/>
    </row>
    <row r="3" spans="1:8">
      <c r="A3" s="10">
        <v>2</v>
      </c>
      <c r="B3" t="s">
        <v>58</v>
      </c>
      <c r="D3" s="10" t="str">
        <f>Etiquettes!$H$2</f>
        <v>Matière première</v>
      </c>
      <c r="E3" t="str">
        <f>Etiquettes!$H$3</f>
        <v>Bovins finis</v>
      </c>
      <c r="F3" s="12" t="s">
        <v>458</v>
      </c>
      <c r="H3" s="12"/>
    </row>
    <row r="4" spans="1:8">
      <c r="A4" s="10">
        <v>2</v>
      </c>
      <c r="B4" t="s">
        <v>7</v>
      </c>
      <c r="D4" s="10" t="str">
        <f>Etiquettes!$H$2</f>
        <v>Matière première</v>
      </c>
      <c r="E4" t="str">
        <f>Etiquettes!$H$3</f>
        <v>Bovins finis</v>
      </c>
      <c r="F4" s="12" t="s">
        <v>458</v>
      </c>
      <c r="H4" s="12"/>
    </row>
    <row r="5" spans="1:8">
      <c r="A5" s="10">
        <v>1</v>
      </c>
      <c r="B5" t="s">
        <v>11</v>
      </c>
      <c r="D5" s="10" t="str">
        <f>Etiquettes!$I$2&amp;":"&amp;Etiquettes!$J$2</f>
        <v>Produit:Coproduit</v>
      </c>
      <c r="E5" t="str">
        <f>Etiquettes!$I$3&amp;":"&amp;Etiquettes!$J$3&amp;":"&amp;Etiquettes!$K$3</f>
        <v>Viandes:Autres produits:Coproduits bruts</v>
      </c>
      <c r="F5" s="12" t="s">
        <v>12</v>
      </c>
      <c r="H5" s="12"/>
    </row>
    <row r="6" spans="1:8">
      <c r="A6" s="10">
        <v>2</v>
      </c>
      <c r="B6" t="s">
        <v>60</v>
      </c>
      <c r="D6" s="10" t="str">
        <f>Etiquettes!$I$2</f>
        <v>Produit</v>
      </c>
      <c r="E6" t="str">
        <f>Etiquettes!$I$3</f>
        <v>Viandes</v>
      </c>
      <c r="F6" s="12" t="s">
        <v>458</v>
      </c>
      <c r="G6">
        <v>1</v>
      </c>
      <c r="H6" s="12" t="s">
        <v>12</v>
      </c>
    </row>
    <row r="7" spans="1:8">
      <c r="A7" s="10">
        <v>3</v>
      </c>
      <c r="B7" t="s">
        <v>13</v>
      </c>
      <c r="D7" s="10" t="str">
        <f>Etiquettes!$I$2</f>
        <v>Produit</v>
      </c>
      <c r="E7" t="str">
        <f>Etiquettes!$I$3</f>
        <v>Viandes</v>
      </c>
      <c r="F7" s="12" t="s">
        <v>458</v>
      </c>
      <c r="G7">
        <v>2</v>
      </c>
      <c r="H7" s="12" t="s">
        <v>591</v>
      </c>
    </row>
    <row r="8" spans="1:8">
      <c r="A8" s="10">
        <v>4</v>
      </c>
      <c r="B8" t="s">
        <v>14</v>
      </c>
      <c r="D8" s="10" t="str">
        <f>Etiquettes!$I$2</f>
        <v>Produit</v>
      </c>
      <c r="E8" t="str">
        <f>Etiquettes!$I$3</f>
        <v>Viandes</v>
      </c>
      <c r="F8" s="12" t="s">
        <v>458</v>
      </c>
      <c r="G8">
        <v>3</v>
      </c>
      <c r="H8" s="12" t="s">
        <v>591</v>
      </c>
    </row>
    <row r="9" spans="1:8">
      <c r="A9" s="10">
        <v>3</v>
      </c>
      <c r="B9" t="s">
        <v>16</v>
      </c>
      <c r="D9" s="10" t="str">
        <f>Etiquettes!$I$2</f>
        <v>Produit</v>
      </c>
      <c r="E9" t="str">
        <f>Etiquettes!$I$3</f>
        <v>Viandes</v>
      </c>
      <c r="F9" s="12" t="s">
        <v>458</v>
      </c>
      <c r="G9">
        <v>2</v>
      </c>
      <c r="H9" s="12" t="s">
        <v>591</v>
      </c>
    </row>
    <row r="10" spans="1:8">
      <c r="A10" s="10">
        <v>4</v>
      </c>
      <c r="B10" t="s">
        <v>17</v>
      </c>
      <c r="D10" s="10" t="str">
        <f>Etiquettes!$I$2</f>
        <v>Produit</v>
      </c>
      <c r="E10" t="str">
        <f>Etiquettes!$I$3</f>
        <v>Viandes</v>
      </c>
      <c r="F10" s="12" t="s">
        <v>458</v>
      </c>
      <c r="G10">
        <v>3</v>
      </c>
      <c r="H10" s="12" t="s">
        <v>591</v>
      </c>
    </row>
    <row r="11" spans="1:8">
      <c r="A11" s="10">
        <v>4</v>
      </c>
      <c r="B11" t="s">
        <v>18</v>
      </c>
      <c r="D11" s="10" t="str">
        <f>Etiquettes!$I$2</f>
        <v>Produit</v>
      </c>
      <c r="E11" t="str">
        <f>Etiquettes!$I$3</f>
        <v>Viandes</v>
      </c>
      <c r="F11" s="12" t="s">
        <v>458</v>
      </c>
      <c r="G11">
        <v>3</v>
      </c>
      <c r="H11" s="12" t="s">
        <v>591</v>
      </c>
    </row>
    <row r="12" spans="1:8">
      <c r="A12" s="10">
        <v>2</v>
      </c>
      <c r="B12" t="s">
        <v>61</v>
      </c>
      <c r="D12" s="10" t="str">
        <f>Etiquettes!$I$2</f>
        <v>Produit</v>
      </c>
      <c r="E12" t="str">
        <f>Etiquettes!$J$3</f>
        <v>Autres produits</v>
      </c>
      <c r="F12" s="12" t="s">
        <v>458</v>
      </c>
      <c r="H12" s="12"/>
    </row>
    <row r="13" spans="1:8">
      <c r="A13" s="10">
        <v>2</v>
      </c>
      <c r="B13" s="38" t="s">
        <v>66</v>
      </c>
      <c r="D13" s="10" t="str">
        <f>Etiquettes!$I$2</f>
        <v>Produit</v>
      </c>
      <c r="E13" t="str">
        <f>Etiquettes!$J$3</f>
        <v>Autres produits</v>
      </c>
      <c r="F13" s="12" t="s">
        <v>458</v>
      </c>
      <c r="H13" s="12"/>
    </row>
    <row r="14" spans="1:8">
      <c r="A14" s="10">
        <v>2</v>
      </c>
      <c r="B14" t="s">
        <v>62</v>
      </c>
      <c r="D14" s="10" t="str">
        <f>Etiquettes!$J$2</f>
        <v>Coproduit</v>
      </c>
      <c r="E14" t="str">
        <f>Etiquettes!$K$3</f>
        <v>Coproduits bruts</v>
      </c>
      <c r="F14" s="12" t="s">
        <v>15</v>
      </c>
      <c r="H14" s="12"/>
    </row>
    <row r="15" spans="1:8">
      <c r="A15" s="10">
        <v>3</v>
      </c>
      <c r="B15" t="s">
        <v>63</v>
      </c>
      <c r="D15" s="10" t="str">
        <f>Etiquettes!$J$2</f>
        <v>Coproduit</v>
      </c>
      <c r="E15" t="str">
        <f>Etiquettes!$K$3</f>
        <v>Coproduits bruts</v>
      </c>
      <c r="F15" s="12" t="s">
        <v>460</v>
      </c>
      <c r="H15" s="12"/>
    </row>
    <row r="16" spans="1:8">
      <c r="A16" s="10">
        <v>3</v>
      </c>
      <c r="B16" t="s">
        <v>64</v>
      </c>
      <c r="D16" s="10" t="str">
        <f>Etiquettes!$J$2</f>
        <v>Coproduit</v>
      </c>
      <c r="E16" t="str">
        <f>Etiquettes!$K$3</f>
        <v>Coproduits bruts</v>
      </c>
      <c r="F16" s="12" t="s">
        <v>460</v>
      </c>
      <c r="H16" s="12"/>
    </row>
    <row r="17" spans="1:8">
      <c r="A17" s="10">
        <v>3</v>
      </c>
      <c r="B17" t="s">
        <v>65</v>
      </c>
      <c r="D17" s="10" t="str">
        <f>Etiquettes!$J$2</f>
        <v>Coproduit</v>
      </c>
      <c r="E17" t="str">
        <f>Etiquettes!$K$3</f>
        <v>Coproduits bruts</v>
      </c>
      <c r="F17" s="12" t="s">
        <v>460</v>
      </c>
      <c r="H17" s="12"/>
    </row>
    <row r="18" spans="1:8">
      <c r="A18" s="10">
        <v>1</v>
      </c>
      <c r="B18" s="119" t="str">
        <f>B6</f>
        <v>Viande</v>
      </c>
      <c r="D18" s="119" t="str">
        <f t="shared" ref="D18:H18" si="0">D6</f>
        <v>Produit</v>
      </c>
      <c r="E18" s="119" t="str">
        <f t="shared" si="0"/>
        <v>Viandes</v>
      </c>
      <c r="F18" s="119" t="str">
        <f t="shared" si="0"/>
        <v>2:3:4:5:6</v>
      </c>
      <c r="G18" s="119">
        <f t="shared" si="0"/>
        <v>1</v>
      </c>
      <c r="H18" s="119" t="str">
        <f t="shared" si="0"/>
        <v>1</v>
      </c>
    </row>
    <row r="19" spans="1:8">
      <c r="A19" s="10">
        <v>2</v>
      </c>
      <c r="B19" t="s">
        <v>558</v>
      </c>
      <c r="D19" s="10" t="str">
        <f>Etiquettes!$I$2</f>
        <v>Produit</v>
      </c>
      <c r="E19" t="str">
        <f>Etiquettes!$I$3</f>
        <v>Viandes</v>
      </c>
      <c r="F19" s="12" t="s">
        <v>458</v>
      </c>
      <c r="G19" s="12" t="s">
        <v>591</v>
      </c>
      <c r="H19" s="12" t="s">
        <v>15</v>
      </c>
    </row>
    <row r="20" spans="1:8">
      <c r="A20" s="10">
        <v>2</v>
      </c>
      <c r="B20" t="s">
        <v>555</v>
      </c>
      <c r="D20" s="10" t="str">
        <f>Etiquettes!$I$2</f>
        <v>Produit</v>
      </c>
      <c r="E20" t="str">
        <f>Etiquettes!$I$3</f>
        <v>Viandes</v>
      </c>
      <c r="F20" s="12" t="s">
        <v>458</v>
      </c>
      <c r="G20" s="12" t="s">
        <v>591</v>
      </c>
      <c r="H20" s="12" t="s">
        <v>15</v>
      </c>
    </row>
    <row r="21" spans="1:8">
      <c r="A21" s="10">
        <v>1</v>
      </c>
      <c r="B21" t="s">
        <v>70</v>
      </c>
      <c r="D21" s="10" t="str">
        <f>Etiquettes!$I$2</f>
        <v>Produit</v>
      </c>
      <c r="E21" t="str">
        <f>Etiquettes!$L$3</f>
        <v>Coproduits transformés</v>
      </c>
      <c r="F21">
        <v>1</v>
      </c>
      <c r="G21" s="12"/>
      <c r="H21" s="12"/>
    </row>
    <row r="22" spans="1:8">
      <c r="A22" s="10">
        <v>2</v>
      </c>
      <c r="B22" t="s">
        <v>71</v>
      </c>
      <c r="D22" s="10" t="str">
        <f>Etiquettes!$I$2</f>
        <v>Produit</v>
      </c>
      <c r="E22" t="str">
        <f>Etiquettes!$L$3</f>
        <v>Coproduits transformés</v>
      </c>
      <c r="F22">
        <v>2</v>
      </c>
      <c r="G22" s="12"/>
      <c r="H22" s="12"/>
    </row>
    <row r="23" spans="1:8">
      <c r="A23" s="10">
        <v>3</v>
      </c>
      <c r="B23" t="s">
        <v>72</v>
      </c>
      <c r="D23" s="10" t="str">
        <f>Etiquettes!$I$2</f>
        <v>Produit</v>
      </c>
      <c r="E23" t="str">
        <f>Etiquettes!$L$3</f>
        <v>Coproduits transformés</v>
      </c>
      <c r="F23">
        <v>3</v>
      </c>
      <c r="G23" s="12"/>
      <c r="H23" s="12"/>
    </row>
    <row r="24" spans="1:8">
      <c r="A24" s="10">
        <v>4</v>
      </c>
      <c r="B24" t="s">
        <v>74</v>
      </c>
      <c r="D24" s="10" t="str">
        <f>Etiquettes!$I$2</f>
        <v>Produit</v>
      </c>
      <c r="E24" t="str">
        <f>Etiquettes!$L$3</f>
        <v>Coproduits transformés</v>
      </c>
      <c r="F24" s="12" t="s">
        <v>459</v>
      </c>
      <c r="G24" s="12"/>
      <c r="H24" s="12"/>
    </row>
    <row r="25" spans="1:8">
      <c r="A25" s="10">
        <v>4</v>
      </c>
      <c r="B25" t="s">
        <v>75</v>
      </c>
      <c r="D25" s="10" t="str">
        <f>Etiquettes!$I$2</f>
        <v>Produit</v>
      </c>
      <c r="E25" t="str">
        <f>Etiquettes!$L$3</f>
        <v>Coproduits transformés</v>
      </c>
      <c r="F25" s="12" t="s">
        <v>459</v>
      </c>
      <c r="G25" s="12"/>
      <c r="H25" s="12"/>
    </row>
    <row r="26" spans="1:8">
      <c r="A26" s="10">
        <v>3</v>
      </c>
      <c r="B26" t="s">
        <v>73</v>
      </c>
      <c r="D26" s="10" t="str">
        <f>Etiquettes!$I$2</f>
        <v>Produit</v>
      </c>
      <c r="E26" t="str">
        <f>Etiquettes!$L$3</f>
        <v>Coproduits transformés</v>
      </c>
      <c r="F26">
        <v>3</v>
      </c>
      <c r="G26" s="12"/>
      <c r="H26" s="12"/>
    </row>
    <row r="27" spans="1:8">
      <c r="A27" s="10">
        <v>4</v>
      </c>
      <c r="B27" t="s">
        <v>76</v>
      </c>
      <c r="D27" s="10" t="str">
        <f>Etiquettes!$I$2</f>
        <v>Produit</v>
      </c>
      <c r="E27" t="str">
        <f>Etiquettes!$L$3</f>
        <v>Coproduits transformés</v>
      </c>
      <c r="F27" s="12" t="s">
        <v>459</v>
      </c>
      <c r="G27" s="12"/>
      <c r="H27" s="12"/>
    </row>
    <row r="28" spans="1:8">
      <c r="A28" s="10">
        <v>4</v>
      </c>
      <c r="B28" t="s">
        <v>77</v>
      </c>
      <c r="D28" s="10" t="str">
        <f>Etiquettes!$I$2</f>
        <v>Produit</v>
      </c>
      <c r="E28" t="str">
        <f>Etiquettes!$L$3</f>
        <v>Coproduits transformés</v>
      </c>
      <c r="F28" s="12" t="s">
        <v>459</v>
      </c>
      <c r="G28" s="12"/>
      <c r="H28" s="12"/>
    </row>
    <row r="29" spans="1:8">
      <c r="A29" s="10">
        <v>1</v>
      </c>
      <c r="B29" t="s">
        <v>466</v>
      </c>
      <c r="D29" s="10" t="str">
        <f>Etiquettes!$L$2</f>
        <v>Rejet</v>
      </c>
      <c r="E29" t="str">
        <f>Etiquettes!$M$3</f>
        <v>Eau</v>
      </c>
      <c r="F29">
        <v>1</v>
      </c>
      <c r="G29" s="12"/>
      <c r="H29" s="12"/>
    </row>
    <row r="30" spans="1:8">
      <c r="A30" s="10">
        <v>2</v>
      </c>
      <c r="B30" t="s">
        <v>471</v>
      </c>
      <c r="D30" s="10" t="str">
        <f>Etiquettes!$L$2</f>
        <v>Rejet</v>
      </c>
      <c r="E30" t="str">
        <f>Etiquettes!$M$3</f>
        <v>Eau</v>
      </c>
      <c r="F30" s="12" t="s">
        <v>458</v>
      </c>
      <c r="G30" s="12"/>
      <c r="H30" s="12"/>
    </row>
    <row r="31" spans="1:8">
      <c r="A31" s="10">
        <v>2</v>
      </c>
      <c r="B31" t="s">
        <v>472</v>
      </c>
      <c r="D31" s="10" t="str">
        <f>Etiquettes!$L$2</f>
        <v>Rejet</v>
      </c>
      <c r="E31" t="str">
        <f>Etiquettes!$M$3</f>
        <v>Eau</v>
      </c>
      <c r="F31" s="12" t="s">
        <v>458</v>
      </c>
      <c r="G31" s="12"/>
      <c r="H31" s="12"/>
    </row>
  </sheetData>
  <phoneticPr fontId="33" type="noConversion"/>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32"/>
  <sheetViews>
    <sheetView workbookViewId="0">
      <pane xSplit="2" ySplit="1" topLeftCell="C2" activePane="bottomRight" state="frozen"/>
      <selection pane="topRight" activeCell="C1" sqref="C1"/>
      <selection pane="bottomLeft" activeCell="A2" sqref="A2"/>
      <selection pane="bottomRight" activeCell="E16" sqref="E16"/>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20</v>
      </c>
      <c r="C1" s="2" t="s">
        <v>2</v>
      </c>
      <c r="D1" t="s">
        <v>589</v>
      </c>
    </row>
    <row r="2" spans="1:4" s="5" customFormat="1">
      <c r="A2" s="3">
        <v>1</v>
      </c>
      <c r="B2" s="5" t="s">
        <v>21</v>
      </c>
      <c r="C2" s="3"/>
      <c r="D2" s="4"/>
    </row>
    <row r="3" spans="1:4" s="8" customFormat="1">
      <c r="A3" s="6">
        <v>1</v>
      </c>
      <c r="B3" s="7" t="s">
        <v>22</v>
      </c>
      <c r="C3" s="6"/>
      <c r="D3" s="9" t="s">
        <v>12</v>
      </c>
    </row>
    <row r="4" spans="1:4" s="8" customFormat="1">
      <c r="A4" s="6">
        <v>2</v>
      </c>
      <c r="B4" s="8" t="s">
        <v>537</v>
      </c>
      <c r="C4" s="6"/>
      <c r="D4" s="9" t="s">
        <v>15</v>
      </c>
    </row>
    <row r="5" spans="1:4" s="8" customFormat="1">
      <c r="A5" s="6">
        <v>3</v>
      </c>
      <c r="B5" s="7" t="s">
        <v>556</v>
      </c>
      <c r="C5" s="6"/>
      <c r="D5" s="9" t="s">
        <v>460</v>
      </c>
    </row>
    <row r="6" spans="1:4" s="8" customFormat="1">
      <c r="A6" s="6">
        <v>3</v>
      </c>
      <c r="B6" s="7" t="s">
        <v>557</v>
      </c>
      <c r="C6" s="6"/>
      <c r="D6" s="9" t="s">
        <v>460</v>
      </c>
    </row>
    <row r="7" spans="1:4" s="15" customFormat="1">
      <c r="A7" s="14">
        <v>2</v>
      </c>
      <c r="B7" s="39" t="s">
        <v>68</v>
      </c>
      <c r="C7" s="14"/>
      <c r="D7" s="16" t="s">
        <v>15</v>
      </c>
    </row>
    <row r="8" spans="1:4" s="15" customFormat="1">
      <c r="A8" s="14">
        <v>3</v>
      </c>
      <c r="B8" s="39" t="s">
        <v>69</v>
      </c>
      <c r="C8" s="14"/>
      <c r="D8" s="16" t="s">
        <v>460</v>
      </c>
    </row>
    <row r="9" spans="1:4" s="15" customFormat="1">
      <c r="A9" s="14">
        <v>3</v>
      </c>
      <c r="B9" s="39" t="s">
        <v>93</v>
      </c>
      <c r="C9" s="14"/>
      <c r="D9" s="16" t="s">
        <v>460</v>
      </c>
    </row>
    <row r="10" spans="1:4" s="37" customFormat="1">
      <c r="A10" s="35">
        <v>1</v>
      </c>
      <c r="B10" s="36" t="s">
        <v>23</v>
      </c>
      <c r="C10" s="35"/>
      <c r="D10" s="104" t="s">
        <v>12</v>
      </c>
    </row>
    <row r="11" spans="1:4" s="37" customFormat="1">
      <c r="A11" s="35">
        <v>2</v>
      </c>
      <c r="B11" s="36" t="s">
        <v>78</v>
      </c>
      <c r="C11" s="35"/>
      <c r="D11" s="104" t="s">
        <v>15</v>
      </c>
    </row>
    <row r="12" spans="1:4" s="37" customFormat="1">
      <c r="A12" s="35">
        <v>3</v>
      </c>
      <c r="B12" s="36" t="s">
        <v>24</v>
      </c>
      <c r="C12" s="35"/>
      <c r="D12" s="104" t="s">
        <v>8</v>
      </c>
    </row>
    <row r="13" spans="1:4" s="37" customFormat="1">
      <c r="A13" s="35">
        <v>4</v>
      </c>
      <c r="B13" s="36" t="s">
        <v>25</v>
      </c>
      <c r="C13" s="35"/>
      <c r="D13" s="104" t="s">
        <v>459</v>
      </c>
    </row>
    <row r="14" spans="1:4" s="37" customFormat="1">
      <c r="A14" s="35">
        <v>4</v>
      </c>
      <c r="B14" s="36" t="s">
        <v>80</v>
      </c>
      <c r="C14" s="35"/>
      <c r="D14" s="104" t="s">
        <v>9</v>
      </c>
    </row>
    <row r="15" spans="1:4" s="37" customFormat="1">
      <c r="A15" s="35">
        <v>5</v>
      </c>
      <c r="B15" s="36" t="s">
        <v>82</v>
      </c>
      <c r="C15" s="35"/>
      <c r="D15" s="104" t="s">
        <v>10</v>
      </c>
    </row>
    <row r="16" spans="1:4" s="37" customFormat="1">
      <c r="A16" s="35">
        <v>6</v>
      </c>
      <c r="B16" s="36" t="s">
        <v>562</v>
      </c>
      <c r="C16" s="35"/>
      <c r="D16" s="104" t="s">
        <v>461</v>
      </c>
    </row>
    <row r="17" spans="1:4" s="37" customFormat="1">
      <c r="A17" s="35">
        <v>5</v>
      </c>
      <c r="B17" s="36" t="s">
        <v>81</v>
      </c>
      <c r="C17" s="35"/>
      <c r="D17" s="104" t="s">
        <v>10</v>
      </c>
    </row>
    <row r="18" spans="1:4" s="37" customFormat="1">
      <c r="A18" s="35">
        <v>6</v>
      </c>
      <c r="B18" s="36" t="s">
        <v>26</v>
      </c>
      <c r="C18" s="35"/>
      <c r="D18" s="104" t="s">
        <v>461</v>
      </c>
    </row>
    <row r="19" spans="1:4" s="37" customFormat="1">
      <c r="A19" s="35">
        <v>4</v>
      </c>
      <c r="B19" s="36" t="s">
        <v>27</v>
      </c>
      <c r="C19" s="35"/>
      <c r="D19" s="104" t="s">
        <v>459</v>
      </c>
    </row>
    <row r="20" spans="1:4" s="37" customFormat="1">
      <c r="A20" s="35">
        <v>4</v>
      </c>
      <c r="B20" s="36" t="s">
        <v>83</v>
      </c>
      <c r="C20" s="35"/>
      <c r="D20" s="104" t="s">
        <v>459</v>
      </c>
    </row>
    <row r="21" spans="1:4" s="37" customFormat="1">
      <c r="A21" s="35">
        <v>3</v>
      </c>
      <c r="B21" s="36" t="s">
        <v>79</v>
      </c>
      <c r="C21" s="35"/>
      <c r="D21" s="104" t="s">
        <v>8</v>
      </c>
    </row>
    <row r="22" spans="1:4" s="37" customFormat="1">
      <c r="A22" s="35">
        <v>4</v>
      </c>
      <c r="B22" s="36" t="s">
        <v>84</v>
      </c>
      <c r="C22" s="35"/>
      <c r="D22" s="104" t="s">
        <v>459</v>
      </c>
    </row>
    <row r="23" spans="1:4" s="37" customFormat="1">
      <c r="A23" s="35">
        <v>4</v>
      </c>
      <c r="B23" s="36" t="s">
        <v>85</v>
      </c>
      <c r="C23" s="35"/>
      <c r="D23" s="104" t="s">
        <v>459</v>
      </c>
    </row>
    <row r="24" spans="1:4" s="37" customFormat="1">
      <c r="A24" s="35">
        <v>4</v>
      </c>
      <c r="B24" s="36" t="s">
        <v>86</v>
      </c>
      <c r="C24" s="35"/>
      <c r="D24" s="104" t="s">
        <v>459</v>
      </c>
    </row>
    <row r="25" spans="1:4" s="37" customFormat="1">
      <c r="A25" s="35">
        <v>2</v>
      </c>
      <c r="B25" s="36" t="s">
        <v>87</v>
      </c>
      <c r="C25" s="35"/>
      <c r="D25" s="104" t="s">
        <v>15</v>
      </c>
    </row>
    <row r="26" spans="1:4" s="37" customFormat="1">
      <c r="A26" s="35">
        <v>3</v>
      </c>
      <c r="B26" s="36" t="s">
        <v>89</v>
      </c>
      <c r="C26" s="35"/>
      <c r="D26" s="104" t="s">
        <v>460</v>
      </c>
    </row>
    <row r="27" spans="1:4" s="37" customFormat="1">
      <c r="A27" s="35">
        <v>3</v>
      </c>
      <c r="B27" s="36" t="s">
        <v>90</v>
      </c>
      <c r="C27" s="35"/>
      <c r="D27" s="104" t="s">
        <v>460</v>
      </c>
    </row>
    <row r="28" spans="1:4" s="37" customFormat="1">
      <c r="A28" s="35">
        <v>3</v>
      </c>
      <c r="B28" s="36" t="s">
        <v>91</v>
      </c>
      <c r="C28" s="35"/>
      <c r="D28" s="104" t="s">
        <v>460</v>
      </c>
    </row>
    <row r="29" spans="1:4" s="37" customFormat="1">
      <c r="A29" s="35">
        <v>3</v>
      </c>
      <c r="B29" s="36" t="s">
        <v>92</v>
      </c>
      <c r="C29" s="35"/>
      <c r="D29" s="104" t="s">
        <v>460</v>
      </c>
    </row>
    <row r="30" spans="1:4" s="37" customFormat="1">
      <c r="A30" s="35">
        <v>2</v>
      </c>
      <c r="B30" s="37" t="s">
        <v>88</v>
      </c>
      <c r="C30" s="35"/>
      <c r="D30" s="104" t="s">
        <v>458</v>
      </c>
    </row>
    <row r="31" spans="1:4">
      <c r="A31" s="10">
        <v>1</v>
      </c>
      <c r="B31" t="s">
        <v>621</v>
      </c>
    </row>
    <row r="32" spans="1:4">
      <c r="A32" s="10">
        <v>1</v>
      </c>
      <c r="B32" t="s">
        <v>220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41"/>
  <sheetViews>
    <sheetView topLeftCell="B2" workbookViewId="0">
      <pane xSplit="1" ySplit="1" topLeftCell="C12" activePane="bottomRight" state="frozen"/>
      <selection activeCell="B2" sqref="B2"/>
      <selection pane="topRight" activeCell="C2" sqref="C2"/>
      <selection pane="bottomLeft" activeCell="B3" sqref="B3"/>
      <selection pane="bottomRight" activeCell="W31" sqref="W31"/>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7" t="s">
        <v>28</v>
      </c>
      <c r="C2" s="18" t="str">
        <f>Secteurs!B2</f>
        <v>Élevage</v>
      </c>
      <c r="D2" s="18" t="str">
        <f>Secteurs!B5</f>
        <v>Abattage / découpe de veaux</v>
      </c>
      <c r="E2" s="18" t="str">
        <f>Secteurs!B6</f>
        <v>Abattage / découpe de gros bovins</v>
      </c>
      <c r="F2" s="18" t="str">
        <f>Secteurs!B8</f>
        <v>Traitement thermique C1/C2</v>
      </c>
      <c r="G2" s="18" t="str">
        <f>Secteurs!B9</f>
        <v>Traitement thermique C3 et alimentaire</v>
      </c>
      <c r="H2" s="18" t="str">
        <f>Secteurs!B13</f>
        <v>Vente directe et autoconsommation</v>
      </c>
      <c r="I2" s="18" t="str">
        <f>Secteurs!B18</f>
        <v>GMS</v>
      </c>
      <c r="J2" s="18" t="str">
        <f>Secteurs!B16</f>
        <v>Boucherie</v>
      </c>
      <c r="K2" s="18" t="str">
        <f>Secteurs!B19</f>
        <v>RHD</v>
      </c>
      <c r="L2" s="18" t="str">
        <f>Secteurs!B20</f>
        <v>Autres IAA</v>
      </c>
      <c r="M2" s="18" t="str">
        <f>Secteurs!B22</f>
        <v>Alimentation animale rente</v>
      </c>
      <c r="N2" s="18" t="str">
        <f>Secteurs!B23</f>
        <v>Petfood</v>
      </c>
      <c r="O2" s="18" t="str">
        <f>Secteurs!B24</f>
        <v>Aquaculture</v>
      </c>
      <c r="P2" s="18" t="str">
        <f>Secteurs!B26</f>
        <v>Biomatériaux</v>
      </c>
      <c r="Q2" s="18" t="str">
        <f>Secteurs!B27</f>
        <v>Energie</v>
      </c>
      <c r="R2" s="18" t="str">
        <f>Secteurs!B28</f>
        <v>Fertilisation</v>
      </c>
      <c r="S2" s="18" t="str">
        <f>Secteurs!B29</f>
        <v>Autres industries</v>
      </c>
      <c r="T2" s="18" t="str">
        <f>Secteurs!B30</f>
        <v>Autres usages (ou usages inconnus)</v>
      </c>
      <c r="U2" s="18" t="str">
        <f>Secteurs!B31</f>
        <v>Importations</v>
      </c>
      <c r="V2" s="18" t="str">
        <f>Secteurs!B32</f>
        <v>Exportations</v>
      </c>
    </row>
    <row r="3" spans="2:22">
      <c r="B3" s="40" t="str">
        <f>Produits!B3</f>
        <v>Veaux</v>
      </c>
      <c r="C3" s="19">
        <v>1</v>
      </c>
      <c r="D3" s="19"/>
      <c r="E3" s="19"/>
      <c r="F3" s="19"/>
      <c r="G3" s="19"/>
      <c r="H3" s="19"/>
      <c r="I3" s="19"/>
      <c r="J3" s="19"/>
      <c r="K3" s="19"/>
      <c r="L3" s="19"/>
      <c r="M3" s="19"/>
      <c r="N3" s="19"/>
      <c r="O3" s="19"/>
      <c r="P3" s="19"/>
      <c r="Q3" s="19"/>
      <c r="R3" s="19"/>
      <c r="S3" s="19"/>
      <c r="T3" s="19"/>
      <c r="U3" s="19">
        <v>1</v>
      </c>
      <c r="V3" s="19"/>
    </row>
    <row r="4" spans="2:22">
      <c r="B4" s="40" t="str">
        <f>Produits!B4</f>
        <v>Gros bovins</v>
      </c>
      <c r="C4" s="19">
        <v>1</v>
      </c>
      <c r="D4" s="19"/>
      <c r="E4" s="19"/>
      <c r="F4" s="19"/>
      <c r="G4" s="19"/>
      <c r="H4" s="19"/>
      <c r="I4" s="19"/>
      <c r="J4" s="19"/>
      <c r="K4" s="19"/>
      <c r="L4" s="19"/>
      <c r="M4" s="19"/>
      <c r="N4" s="19"/>
      <c r="O4" s="19"/>
      <c r="P4" s="19"/>
      <c r="Q4" s="19"/>
      <c r="R4" s="19"/>
      <c r="S4" s="19"/>
      <c r="T4" s="19"/>
      <c r="U4" s="19">
        <v>1</v>
      </c>
      <c r="V4" s="19"/>
    </row>
    <row r="5" spans="2:22">
      <c r="B5" s="40" t="str">
        <f>Produits!B8</f>
        <v>Carcasses, fraîches</v>
      </c>
      <c r="C5" s="19"/>
      <c r="D5" s="19">
        <v>1</v>
      </c>
      <c r="E5" s="19">
        <v>1</v>
      </c>
      <c r="F5" s="19"/>
      <c r="G5" s="19"/>
      <c r="H5" s="19"/>
      <c r="I5" s="19"/>
      <c r="J5" s="19"/>
      <c r="K5" s="19"/>
      <c r="L5" s="19"/>
      <c r="M5" s="19"/>
      <c r="N5" s="19"/>
      <c r="O5" s="19"/>
      <c r="P5" s="19"/>
      <c r="Q5" s="19"/>
      <c r="R5" s="19"/>
      <c r="S5" s="19"/>
      <c r="T5" s="19"/>
      <c r="U5" s="19">
        <v>1</v>
      </c>
      <c r="V5" s="19"/>
    </row>
    <row r="6" spans="2:22">
      <c r="B6" s="40" t="str">
        <f>Produits!B10</f>
        <v>Morceaux, frais</v>
      </c>
      <c r="C6" s="19"/>
      <c r="D6" s="19">
        <v>1</v>
      </c>
      <c r="E6" s="19">
        <v>1</v>
      </c>
      <c r="F6" s="19"/>
      <c r="G6" s="19"/>
      <c r="H6" s="19"/>
      <c r="I6" s="19"/>
      <c r="J6" s="19"/>
      <c r="K6" s="19"/>
      <c r="L6" s="19"/>
      <c r="M6" s="19"/>
      <c r="N6" s="19"/>
      <c r="O6" s="19"/>
      <c r="P6" s="19"/>
      <c r="Q6" s="19"/>
      <c r="R6" s="19"/>
      <c r="S6" s="19"/>
      <c r="T6" s="19"/>
      <c r="U6" s="19">
        <v>1</v>
      </c>
      <c r="V6" s="19"/>
    </row>
    <row r="7" spans="2:22">
      <c r="B7" s="40" t="str">
        <f>Produits!B11</f>
        <v>Morceaux, congelés</v>
      </c>
      <c r="C7" s="19"/>
      <c r="D7" s="19">
        <v>1</v>
      </c>
      <c r="E7" s="19">
        <v>1</v>
      </c>
      <c r="F7" s="19"/>
      <c r="G7" s="19"/>
      <c r="H7" s="19"/>
      <c r="I7" s="19"/>
      <c r="J7" s="19"/>
      <c r="K7" s="19"/>
      <c r="L7" s="19"/>
      <c r="M7" s="19"/>
      <c r="N7" s="19"/>
      <c r="O7" s="19"/>
      <c r="P7" s="19"/>
      <c r="Q7" s="19"/>
      <c r="R7" s="19"/>
      <c r="S7" s="19"/>
      <c r="T7" s="19"/>
      <c r="U7" s="19">
        <v>1</v>
      </c>
      <c r="V7" s="19"/>
    </row>
    <row r="8" spans="2:22">
      <c r="B8" s="40" t="str">
        <f>Produits!B12</f>
        <v>Abats</v>
      </c>
      <c r="C8" s="19"/>
      <c r="D8" s="19">
        <v>1</v>
      </c>
      <c r="E8" s="19">
        <v>1</v>
      </c>
      <c r="F8" s="19"/>
      <c r="G8" s="19"/>
      <c r="H8" s="19"/>
      <c r="I8" s="19"/>
      <c r="J8" s="19"/>
      <c r="K8" s="19"/>
      <c r="L8" s="19"/>
      <c r="M8" s="19"/>
      <c r="N8" s="19"/>
      <c r="O8" s="19"/>
      <c r="P8" s="19"/>
      <c r="Q8" s="19"/>
      <c r="R8" s="19"/>
      <c r="S8" s="19"/>
      <c r="T8" s="19"/>
      <c r="U8" s="19">
        <v>1</v>
      </c>
      <c r="V8" s="19"/>
    </row>
    <row r="9" spans="2:22">
      <c r="B9" s="40" t="str">
        <f>Produits!B15</f>
        <v>C1</v>
      </c>
      <c r="C9" s="19"/>
      <c r="D9" s="19">
        <v>1</v>
      </c>
      <c r="E9" s="19">
        <v>1</v>
      </c>
      <c r="F9" s="19"/>
      <c r="G9" s="19"/>
      <c r="H9" s="19"/>
      <c r="I9" s="19"/>
      <c r="J9" s="19"/>
      <c r="K9" s="19"/>
      <c r="L9" s="19"/>
      <c r="M9" s="19"/>
      <c r="N9" s="19"/>
      <c r="O9" s="19"/>
      <c r="P9" s="19"/>
      <c r="Q9" s="19"/>
      <c r="R9" s="19"/>
      <c r="S9" s="19"/>
      <c r="T9" s="19"/>
      <c r="U9" s="19"/>
      <c r="V9" s="19"/>
    </row>
    <row r="10" spans="2:22">
      <c r="B10" s="40" t="str">
        <f>Produits!B16</f>
        <v>C2</v>
      </c>
      <c r="C10" s="19"/>
      <c r="D10" s="19">
        <v>1</v>
      </c>
      <c r="E10" s="19">
        <v>1</v>
      </c>
      <c r="F10" s="19"/>
      <c r="G10" s="19"/>
      <c r="H10" s="19"/>
      <c r="I10" s="19"/>
      <c r="J10" s="19"/>
      <c r="K10" s="19"/>
      <c r="L10" s="19"/>
      <c r="M10" s="19"/>
      <c r="N10" s="19"/>
      <c r="O10" s="19"/>
      <c r="P10" s="19"/>
      <c r="Q10" s="19"/>
      <c r="R10" s="19"/>
      <c r="S10" s="19"/>
      <c r="T10" s="19"/>
      <c r="U10" s="19"/>
      <c r="V10" s="19"/>
    </row>
    <row r="11" spans="2:22">
      <c r="B11" s="40" t="str">
        <f>Produits!B17</f>
        <v>C3 et alimentaire</v>
      </c>
      <c r="C11" s="19"/>
      <c r="D11" s="19">
        <v>1</v>
      </c>
      <c r="E11" s="19">
        <v>1</v>
      </c>
      <c r="F11" s="19"/>
      <c r="G11" s="19"/>
      <c r="H11" s="19"/>
      <c r="I11" s="19"/>
      <c r="J11" s="19"/>
      <c r="K11" s="19"/>
      <c r="L11" s="19"/>
      <c r="M11" s="19"/>
      <c r="N11" s="19"/>
      <c r="O11" s="19"/>
      <c r="P11" s="19"/>
      <c r="Q11" s="19"/>
      <c r="R11" s="19"/>
      <c r="S11" s="19"/>
      <c r="T11" s="19"/>
      <c r="U11" s="19">
        <v>1</v>
      </c>
      <c r="V11" s="19"/>
    </row>
    <row r="12" spans="2:22">
      <c r="B12" s="40" t="str">
        <f>Produits!B19</f>
        <v>Viande de veaux</v>
      </c>
      <c r="C12" s="19"/>
      <c r="D12" s="19">
        <v>1</v>
      </c>
      <c r="E12" s="19">
        <v>1</v>
      </c>
      <c r="F12" s="19"/>
      <c r="G12" s="19"/>
      <c r="H12" s="19"/>
      <c r="I12" s="19"/>
      <c r="J12" s="19"/>
      <c r="K12" s="19"/>
      <c r="L12" s="19"/>
      <c r="M12" s="19"/>
      <c r="N12" s="19"/>
      <c r="O12" s="19"/>
      <c r="P12" s="19"/>
      <c r="Q12" s="19"/>
      <c r="R12" s="19"/>
      <c r="S12" s="19"/>
      <c r="T12" s="19"/>
      <c r="U12" s="19">
        <v>1</v>
      </c>
      <c r="V12" s="19"/>
    </row>
    <row r="13" spans="2:22">
      <c r="B13" s="40" t="str">
        <f>Produits!B20</f>
        <v>Viande de gros bovins</v>
      </c>
      <c r="C13" s="19"/>
      <c r="D13" s="19">
        <v>1</v>
      </c>
      <c r="E13" s="19">
        <v>1</v>
      </c>
      <c r="F13" s="19"/>
      <c r="G13" s="19"/>
      <c r="H13" s="19"/>
      <c r="I13" s="19"/>
      <c r="J13" s="19"/>
      <c r="K13" s="19"/>
      <c r="L13" s="19"/>
      <c r="M13" s="19"/>
      <c r="N13" s="19"/>
      <c r="O13" s="19"/>
      <c r="P13" s="19"/>
      <c r="Q13" s="19"/>
      <c r="R13" s="19"/>
      <c r="S13" s="19"/>
      <c r="T13" s="19"/>
      <c r="U13" s="19">
        <v>1</v>
      </c>
      <c r="V13" s="19"/>
    </row>
    <row r="14" spans="2:22">
      <c r="B14" s="40" t="str">
        <f>Produits!B13</f>
        <v>Cuirs</v>
      </c>
      <c r="C14" s="19"/>
      <c r="D14" s="19">
        <v>1</v>
      </c>
      <c r="E14" s="19">
        <v>1</v>
      </c>
      <c r="F14" s="19"/>
      <c r="G14" s="19"/>
      <c r="H14" s="19"/>
      <c r="I14" s="19"/>
      <c r="J14" s="19"/>
      <c r="K14" s="19"/>
      <c r="L14" s="19"/>
      <c r="M14" s="19"/>
      <c r="N14" s="19"/>
      <c r="O14" s="19"/>
      <c r="P14" s="19"/>
      <c r="Q14" s="19"/>
      <c r="R14" s="19"/>
      <c r="S14" s="19"/>
      <c r="T14" s="19"/>
      <c r="U14" s="19"/>
      <c r="V14" s="19"/>
    </row>
    <row r="15" spans="2:22">
      <c r="B15" s="40" t="str">
        <f>Produits!B24</f>
        <v>Farines animales</v>
      </c>
      <c r="C15" s="19"/>
      <c r="D15" s="19"/>
      <c r="E15" s="19"/>
      <c r="F15" s="19">
        <v>1</v>
      </c>
      <c r="G15" s="19"/>
      <c r="H15" s="19"/>
      <c r="I15" s="19"/>
      <c r="J15" s="19"/>
      <c r="K15" s="19"/>
      <c r="L15" s="19"/>
      <c r="M15" s="19"/>
      <c r="N15" s="19"/>
      <c r="O15" s="19"/>
      <c r="P15" s="19"/>
      <c r="Q15" s="19"/>
      <c r="R15" s="19"/>
      <c r="S15" s="19"/>
      <c r="T15" s="19"/>
      <c r="U15" s="19"/>
      <c r="V15" s="19"/>
    </row>
    <row r="16" spans="2:22">
      <c r="B16" s="40" t="str">
        <f>Produits!B25</f>
        <v>Graisses animales</v>
      </c>
      <c r="C16" s="19"/>
      <c r="D16" s="19"/>
      <c r="E16" s="19"/>
      <c r="F16" s="19">
        <v>1</v>
      </c>
      <c r="G16" s="19"/>
      <c r="H16" s="19"/>
      <c r="I16" s="19"/>
      <c r="J16" s="19"/>
      <c r="K16" s="19"/>
      <c r="L16" s="19"/>
      <c r="M16" s="19"/>
      <c r="N16" s="19"/>
      <c r="O16" s="19"/>
      <c r="P16" s="19"/>
      <c r="Q16" s="19"/>
      <c r="R16" s="19"/>
      <c r="S16" s="19"/>
      <c r="T16" s="19"/>
      <c r="U16" s="19"/>
      <c r="V16" s="19"/>
    </row>
    <row r="17" spans="2:22">
      <c r="B17" s="40" t="str">
        <f>Produits!B27</f>
        <v>Protéines animales transformées</v>
      </c>
      <c r="C17" s="19"/>
      <c r="D17" s="19"/>
      <c r="E17" s="19"/>
      <c r="F17" s="19"/>
      <c r="G17" s="19">
        <v>1</v>
      </c>
      <c r="H17" s="19"/>
      <c r="I17" s="19"/>
      <c r="J17" s="19"/>
      <c r="K17" s="19"/>
      <c r="L17" s="19"/>
      <c r="M17" s="19"/>
      <c r="N17" s="19"/>
      <c r="O17" s="19"/>
      <c r="P17" s="19"/>
      <c r="Q17" s="19"/>
      <c r="R17" s="19"/>
      <c r="S17" s="19"/>
      <c r="T17" s="19"/>
      <c r="U17" s="19"/>
      <c r="V17" s="19"/>
    </row>
    <row r="18" spans="2:22">
      <c r="B18" s="40" t="str">
        <f>Produits!B28</f>
        <v>Corps gras animaux</v>
      </c>
      <c r="C18" s="19"/>
      <c r="D18" s="19"/>
      <c r="E18" s="19"/>
      <c r="F18" s="19"/>
      <c r="G18" s="19">
        <v>1</v>
      </c>
      <c r="H18" s="19"/>
      <c r="I18" s="19"/>
      <c r="J18" s="19"/>
      <c r="K18" s="19"/>
      <c r="L18" s="19"/>
      <c r="M18" s="19"/>
      <c r="N18" s="19"/>
      <c r="O18" s="19"/>
      <c r="P18" s="19"/>
      <c r="Q18" s="19"/>
      <c r="R18" s="19"/>
      <c r="S18" s="19"/>
      <c r="T18" s="19"/>
      <c r="U18" s="19"/>
      <c r="V18" s="19"/>
    </row>
    <row r="19" spans="2:22">
      <c r="B19" s="40" t="str">
        <f>Produits!B30</f>
        <v>Eau - ressuage</v>
      </c>
      <c r="C19" s="19"/>
      <c r="D19" s="19">
        <v>1</v>
      </c>
      <c r="E19" s="19">
        <v>1</v>
      </c>
      <c r="F19" s="19"/>
      <c r="G19" s="19"/>
      <c r="H19" s="19"/>
      <c r="I19" s="19"/>
      <c r="J19" s="19"/>
      <c r="K19" s="19"/>
      <c r="L19" s="19"/>
      <c r="M19" s="19"/>
      <c r="N19" s="19"/>
      <c r="O19" s="19"/>
      <c r="P19" s="19"/>
      <c r="Q19" s="19"/>
      <c r="R19" s="19"/>
      <c r="S19" s="19"/>
      <c r="T19" s="19"/>
      <c r="U19" s="19"/>
      <c r="V19" s="19"/>
    </row>
    <row r="20" spans="2:22">
      <c r="B20" s="40" t="str">
        <f>Produits!B31</f>
        <v>Eau - traitement thermique</v>
      </c>
      <c r="C20" s="19"/>
      <c r="D20" s="19"/>
      <c r="E20" s="19"/>
      <c r="F20" s="19">
        <v>1</v>
      </c>
      <c r="G20" s="19">
        <v>1</v>
      </c>
      <c r="H20" s="19"/>
      <c r="I20" s="19"/>
      <c r="J20" s="19"/>
      <c r="K20" s="19"/>
      <c r="L20" s="19"/>
      <c r="M20" s="19"/>
      <c r="N20" s="19"/>
      <c r="O20" s="19"/>
      <c r="P20" s="19"/>
      <c r="Q20" s="19"/>
      <c r="R20" s="19"/>
      <c r="S20" s="19"/>
      <c r="T20" s="19"/>
      <c r="U20" s="19"/>
      <c r="V20" s="19"/>
    </row>
    <row r="21" spans="2:22">
      <c r="B21" s="20"/>
    </row>
    <row r="22" spans="2:22">
      <c r="B22" s="20"/>
    </row>
    <row r="23" spans="2:22">
      <c r="B23" s="21" t="s">
        <v>29</v>
      </c>
      <c r="C23" s="22"/>
      <c r="D23" s="22"/>
      <c r="E23" s="22"/>
      <c r="F23" s="22"/>
      <c r="G23" s="22"/>
      <c r="H23" s="22"/>
      <c r="I23" s="22"/>
      <c r="J23" s="22"/>
      <c r="K23" s="22"/>
      <c r="L23" s="22"/>
      <c r="M23" s="22"/>
      <c r="N23" s="22"/>
      <c r="O23" s="22"/>
      <c r="P23" s="22"/>
      <c r="Q23" s="22"/>
      <c r="R23" s="22"/>
      <c r="S23" s="22"/>
      <c r="T23" s="22"/>
      <c r="U23" s="22"/>
      <c r="V23" s="22"/>
    </row>
    <row r="24" spans="2:22">
      <c r="B24" s="40" t="str">
        <f t="shared" ref="B24:B32" si="0">B3</f>
        <v>Veaux</v>
      </c>
      <c r="C24" s="19"/>
      <c r="D24" s="19">
        <v>1</v>
      </c>
      <c r="E24" s="19"/>
      <c r="F24" s="19"/>
      <c r="G24" s="19"/>
      <c r="H24" s="19"/>
      <c r="I24" s="19"/>
      <c r="J24" s="19"/>
      <c r="K24" s="19"/>
      <c r="L24" s="19"/>
      <c r="M24" s="19"/>
      <c r="N24" s="19"/>
      <c r="O24" s="19"/>
      <c r="P24" s="19"/>
      <c r="Q24" s="19"/>
      <c r="R24" s="19"/>
      <c r="S24" s="19"/>
      <c r="T24" s="19"/>
      <c r="U24" s="19"/>
      <c r="V24" s="19">
        <v>1</v>
      </c>
    </row>
    <row r="25" spans="2:22">
      <c r="B25" s="40" t="str">
        <f t="shared" si="0"/>
        <v>Gros bovins</v>
      </c>
      <c r="C25" s="19"/>
      <c r="D25" s="19"/>
      <c r="E25" s="19">
        <v>1</v>
      </c>
      <c r="F25" s="19"/>
      <c r="G25" s="19"/>
      <c r="H25" s="19"/>
      <c r="I25" s="19"/>
      <c r="J25" s="19"/>
      <c r="K25" s="19"/>
      <c r="L25" s="19"/>
      <c r="M25" s="19"/>
      <c r="N25" s="19"/>
      <c r="O25" s="19"/>
      <c r="P25" s="19"/>
      <c r="Q25" s="19"/>
      <c r="R25" s="19"/>
      <c r="S25" s="19"/>
      <c r="T25" s="19"/>
      <c r="U25" s="19"/>
      <c r="V25" s="19">
        <v>1</v>
      </c>
    </row>
    <row r="26" spans="2:22">
      <c r="B26" s="40" t="str">
        <f t="shared" si="0"/>
        <v>Carcasses, fraîches</v>
      </c>
      <c r="C26" s="19"/>
      <c r="D26" s="19"/>
      <c r="E26" s="19"/>
      <c r="F26" s="19"/>
      <c r="G26" s="19"/>
      <c r="H26" s="19">
        <v>1</v>
      </c>
      <c r="I26" s="19">
        <v>1</v>
      </c>
      <c r="J26" s="19">
        <v>1</v>
      </c>
      <c r="K26" s="19">
        <v>1</v>
      </c>
      <c r="L26" s="19">
        <v>1</v>
      </c>
      <c r="M26" s="19"/>
      <c r="N26" s="19"/>
      <c r="O26" s="19"/>
      <c r="P26" s="19"/>
      <c r="Q26" s="19"/>
      <c r="R26" s="19"/>
      <c r="S26" s="19"/>
      <c r="T26" s="19"/>
      <c r="U26" s="19"/>
      <c r="V26" s="19">
        <v>1</v>
      </c>
    </row>
    <row r="27" spans="2:22">
      <c r="B27" s="40" t="str">
        <f t="shared" si="0"/>
        <v>Morceaux, frais</v>
      </c>
      <c r="C27" s="19"/>
      <c r="D27" s="19"/>
      <c r="E27" s="19"/>
      <c r="F27" s="19"/>
      <c r="G27" s="19"/>
      <c r="H27" s="19">
        <v>1</v>
      </c>
      <c r="I27" s="19">
        <v>1</v>
      </c>
      <c r="J27" s="19">
        <v>1</v>
      </c>
      <c r="K27" s="19">
        <v>1</v>
      </c>
      <c r="L27" s="19">
        <v>1</v>
      </c>
      <c r="M27" s="19"/>
      <c r="N27" s="19"/>
      <c r="O27" s="19"/>
      <c r="P27" s="19"/>
      <c r="Q27" s="19"/>
      <c r="R27" s="19"/>
      <c r="S27" s="19"/>
      <c r="T27" s="19"/>
      <c r="U27" s="19"/>
      <c r="V27" s="19">
        <v>1</v>
      </c>
    </row>
    <row r="28" spans="2:22">
      <c r="B28" s="40" t="str">
        <f t="shared" si="0"/>
        <v>Morceaux, congelés</v>
      </c>
      <c r="C28" s="19"/>
      <c r="D28" s="19"/>
      <c r="E28" s="19"/>
      <c r="F28" s="19"/>
      <c r="G28" s="19"/>
      <c r="H28" s="19">
        <v>1</v>
      </c>
      <c r="I28" s="19">
        <v>1</v>
      </c>
      <c r="J28" s="19">
        <v>1</v>
      </c>
      <c r="K28" s="19">
        <v>1</v>
      </c>
      <c r="L28" s="19">
        <v>1</v>
      </c>
      <c r="M28" s="19"/>
      <c r="N28" s="19"/>
      <c r="O28" s="19"/>
      <c r="P28" s="19"/>
      <c r="Q28" s="19"/>
      <c r="R28" s="19"/>
      <c r="S28" s="19"/>
      <c r="T28" s="19"/>
      <c r="U28" s="19"/>
      <c r="V28" s="19">
        <v>1</v>
      </c>
    </row>
    <row r="29" spans="2:22">
      <c r="B29" s="40" t="str">
        <f t="shared" si="0"/>
        <v>Abats</v>
      </c>
      <c r="C29" s="19"/>
      <c r="D29" s="19"/>
      <c r="E29" s="19"/>
      <c r="F29" s="19"/>
      <c r="G29" s="19"/>
      <c r="H29" s="19">
        <v>1</v>
      </c>
      <c r="I29" s="19">
        <v>1</v>
      </c>
      <c r="J29" s="19">
        <v>1</v>
      </c>
      <c r="K29" s="19">
        <v>1</v>
      </c>
      <c r="L29" s="19">
        <v>1</v>
      </c>
      <c r="M29" s="19"/>
      <c r="N29" s="19"/>
      <c r="O29" s="19"/>
      <c r="P29" s="19"/>
      <c r="Q29" s="19"/>
      <c r="R29" s="19"/>
      <c r="S29" s="19"/>
      <c r="T29" s="19"/>
      <c r="U29" s="19"/>
      <c r="V29" s="19">
        <v>1</v>
      </c>
    </row>
    <row r="30" spans="2:22">
      <c r="B30" s="40" t="str">
        <f t="shared" si="0"/>
        <v>C1</v>
      </c>
      <c r="C30" s="19"/>
      <c r="D30" s="19"/>
      <c r="E30" s="19"/>
      <c r="F30" s="19">
        <v>1</v>
      </c>
      <c r="G30" s="19"/>
      <c r="H30" s="19"/>
      <c r="I30" s="19"/>
      <c r="J30" s="19"/>
      <c r="K30" s="19"/>
      <c r="L30" s="19"/>
      <c r="M30" s="19"/>
      <c r="N30" s="19"/>
      <c r="O30" s="19"/>
      <c r="P30" s="19"/>
      <c r="Q30" s="19"/>
      <c r="R30" s="19"/>
      <c r="S30" s="19"/>
      <c r="T30" s="19"/>
      <c r="U30" s="19"/>
      <c r="V30" s="19"/>
    </row>
    <row r="31" spans="2:22">
      <c r="B31" s="40" t="str">
        <f t="shared" si="0"/>
        <v>C2</v>
      </c>
      <c r="C31" s="19"/>
      <c r="D31" s="19"/>
      <c r="E31" s="19"/>
      <c r="F31" s="19">
        <v>1</v>
      </c>
      <c r="G31" s="19"/>
      <c r="H31" s="19"/>
      <c r="I31" s="19"/>
      <c r="J31" s="19"/>
      <c r="K31" s="19"/>
      <c r="L31" s="19"/>
      <c r="M31" s="19"/>
      <c r="N31" s="19"/>
      <c r="O31" s="19"/>
      <c r="P31" s="19"/>
      <c r="Q31" s="19"/>
      <c r="R31" s="19"/>
      <c r="S31" s="19"/>
      <c r="T31" s="19"/>
      <c r="U31" s="19"/>
      <c r="V31" s="19"/>
    </row>
    <row r="32" spans="2:22">
      <c r="B32" s="40" t="str">
        <f t="shared" si="0"/>
        <v>C3 et alimentaire</v>
      </c>
      <c r="C32" s="19"/>
      <c r="D32" s="19"/>
      <c r="E32" s="19"/>
      <c r="F32" s="19"/>
      <c r="G32" s="19">
        <v>1</v>
      </c>
      <c r="H32" s="19"/>
      <c r="I32" s="19"/>
      <c r="J32" s="19"/>
      <c r="K32" s="19"/>
      <c r="L32" s="19"/>
      <c r="M32" s="19"/>
      <c r="N32" s="19"/>
      <c r="O32" s="19"/>
      <c r="P32" s="19"/>
      <c r="Q32" s="19"/>
      <c r="R32" s="19"/>
      <c r="S32" s="19"/>
      <c r="T32" s="19"/>
      <c r="U32" s="19"/>
      <c r="V32" s="19">
        <v>1</v>
      </c>
    </row>
    <row r="33" spans="2:22">
      <c r="B33" s="40" t="str">
        <f t="shared" ref="B33:B34" si="1">B12</f>
        <v>Viande de veaux</v>
      </c>
      <c r="C33" s="19"/>
      <c r="D33" s="19"/>
      <c r="E33" s="19"/>
      <c r="F33" s="19"/>
      <c r="G33" s="19"/>
      <c r="H33" s="19">
        <v>1</v>
      </c>
      <c r="I33" s="19">
        <v>1</v>
      </c>
      <c r="J33" s="19">
        <v>1</v>
      </c>
      <c r="K33" s="19">
        <v>1</v>
      </c>
      <c r="L33" s="19">
        <v>1</v>
      </c>
      <c r="M33" s="19"/>
      <c r="N33" s="19"/>
      <c r="O33" s="19"/>
      <c r="P33" s="19"/>
      <c r="Q33" s="19"/>
      <c r="R33" s="19"/>
      <c r="S33" s="19"/>
      <c r="T33" s="19"/>
      <c r="U33" s="19"/>
      <c r="V33" s="19">
        <v>1</v>
      </c>
    </row>
    <row r="34" spans="2:22">
      <c r="B34" s="40" t="str">
        <f t="shared" si="1"/>
        <v>Viande de gros bovins</v>
      </c>
      <c r="C34" s="19"/>
      <c r="D34" s="19"/>
      <c r="E34" s="19"/>
      <c r="F34" s="19"/>
      <c r="G34" s="19"/>
      <c r="H34" s="19">
        <v>1</v>
      </c>
      <c r="I34" s="19">
        <v>1</v>
      </c>
      <c r="J34" s="19">
        <v>1</v>
      </c>
      <c r="K34" s="19">
        <v>1</v>
      </c>
      <c r="L34" s="19">
        <v>1</v>
      </c>
      <c r="M34" s="19"/>
      <c r="N34" s="19"/>
      <c r="O34" s="19"/>
      <c r="P34" s="19"/>
      <c r="Q34" s="19"/>
      <c r="R34" s="19"/>
      <c r="S34" s="19"/>
      <c r="T34" s="19"/>
      <c r="U34" s="19"/>
      <c r="V34" s="19">
        <v>1</v>
      </c>
    </row>
    <row r="35" spans="2:22">
      <c r="B35" s="40" t="str">
        <f>B14</f>
        <v>Cuirs</v>
      </c>
      <c r="C35" s="19"/>
      <c r="D35" s="19"/>
      <c r="E35" s="19"/>
      <c r="F35" s="19"/>
      <c r="G35" s="19"/>
      <c r="H35" s="19"/>
      <c r="I35" s="19"/>
      <c r="J35" s="19"/>
      <c r="K35" s="19"/>
      <c r="L35" s="19"/>
      <c r="M35" s="19"/>
      <c r="N35" s="19"/>
      <c r="O35" s="19"/>
      <c r="P35" s="19">
        <v>1</v>
      </c>
      <c r="Q35" s="19"/>
      <c r="R35" s="19"/>
      <c r="S35" s="19"/>
      <c r="T35" s="19"/>
      <c r="U35" s="19"/>
      <c r="V35" s="19"/>
    </row>
    <row r="36" spans="2:22">
      <c r="B36" s="40" t="str">
        <f>B15</f>
        <v>Farines animales</v>
      </c>
      <c r="C36" s="19"/>
      <c r="D36" s="19"/>
      <c r="E36" s="19"/>
      <c r="F36" s="19"/>
      <c r="G36" s="19"/>
      <c r="H36" s="19"/>
      <c r="I36" s="19"/>
      <c r="J36" s="19"/>
      <c r="K36" s="19"/>
      <c r="L36" s="19"/>
      <c r="M36" s="19"/>
      <c r="N36" s="19"/>
      <c r="O36" s="19"/>
      <c r="P36" s="19"/>
      <c r="Q36" s="19">
        <v>1</v>
      </c>
      <c r="R36" s="19">
        <v>1</v>
      </c>
      <c r="S36" s="19"/>
      <c r="T36" s="19"/>
      <c r="U36" s="19"/>
      <c r="V36" s="19"/>
    </row>
    <row r="37" spans="2:22">
      <c r="B37" s="40" t="str">
        <f>B16</f>
        <v>Graisses animales</v>
      </c>
      <c r="C37" s="19"/>
      <c r="D37" s="19"/>
      <c r="E37" s="19"/>
      <c r="F37" s="19"/>
      <c r="G37" s="19"/>
      <c r="H37" s="19"/>
      <c r="I37" s="19"/>
      <c r="J37" s="19"/>
      <c r="K37" s="19"/>
      <c r="L37" s="19"/>
      <c r="M37" s="19"/>
      <c r="N37" s="19"/>
      <c r="O37" s="19"/>
      <c r="P37" s="19"/>
      <c r="Q37" s="19">
        <v>1</v>
      </c>
      <c r="R37" s="19"/>
      <c r="S37" s="19"/>
      <c r="T37" s="19"/>
      <c r="U37" s="19"/>
      <c r="V37" s="19"/>
    </row>
    <row r="38" spans="2:22">
      <c r="B38" s="40" t="str">
        <f>B17</f>
        <v>Protéines animales transformées</v>
      </c>
      <c r="C38" s="19"/>
      <c r="D38" s="19"/>
      <c r="E38" s="19"/>
      <c r="F38" s="19"/>
      <c r="G38" s="19"/>
      <c r="H38" s="19"/>
      <c r="I38" s="19"/>
      <c r="J38" s="19"/>
      <c r="K38" s="19"/>
      <c r="L38" s="19"/>
      <c r="M38" s="19">
        <v>1</v>
      </c>
      <c r="N38" s="19">
        <v>1</v>
      </c>
      <c r="O38" s="19">
        <v>1</v>
      </c>
      <c r="P38" s="19"/>
      <c r="Q38" s="19">
        <v>1</v>
      </c>
      <c r="R38" s="19">
        <v>1</v>
      </c>
      <c r="S38" s="19">
        <v>1</v>
      </c>
      <c r="T38" s="19">
        <v>1</v>
      </c>
      <c r="U38" s="19"/>
      <c r="V38" s="19">
        <v>1</v>
      </c>
    </row>
    <row r="39" spans="2:22">
      <c r="B39" s="40" t="str">
        <f>B18</f>
        <v>Corps gras animaux</v>
      </c>
      <c r="C39" s="19"/>
      <c r="D39" s="19"/>
      <c r="E39" s="19"/>
      <c r="F39" s="19"/>
      <c r="G39" s="19"/>
      <c r="H39" s="19"/>
      <c r="I39" s="19"/>
      <c r="J39" s="19"/>
      <c r="K39" s="19"/>
      <c r="L39" s="19"/>
      <c r="M39" s="19">
        <v>1</v>
      </c>
      <c r="N39" s="19">
        <v>1</v>
      </c>
      <c r="O39" s="19">
        <v>1</v>
      </c>
      <c r="P39" s="19"/>
      <c r="Q39" s="19">
        <v>1</v>
      </c>
      <c r="R39" s="19"/>
      <c r="S39" s="19">
        <v>1</v>
      </c>
      <c r="T39" s="19">
        <v>1</v>
      </c>
      <c r="U39" s="19"/>
      <c r="V39" s="19">
        <v>1</v>
      </c>
    </row>
    <row r="40" spans="2:22">
      <c r="B40" s="40" t="str">
        <f t="shared" ref="B40:B41" si="2">B19</f>
        <v>Eau - ressuage</v>
      </c>
      <c r="C40" s="19"/>
      <c r="D40" s="19"/>
      <c r="E40" s="19"/>
      <c r="F40" s="19"/>
      <c r="G40" s="19"/>
      <c r="H40" s="19"/>
      <c r="I40" s="19"/>
      <c r="J40" s="19"/>
      <c r="K40" s="19"/>
      <c r="L40" s="19"/>
      <c r="M40" s="19"/>
      <c r="N40" s="19"/>
      <c r="O40" s="19"/>
      <c r="P40" s="19"/>
      <c r="Q40" s="19"/>
      <c r="R40" s="19"/>
      <c r="S40" s="19"/>
      <c r="T40" s="19"/>
      <c r="U40" s="19"/>
      <c r="V40" s="19"/>
    </row>
    <row r="41" spans="2:22">
      <c r="B41" s="40" t="str">
        <f t="shared" si="2"/>
        <v>Eau - traitement thermique</v>
      </c>
      <c r="C41" s="19"/>
      <c r="D41" s="19"/>
      <c r="E41" s="19"/>
      <c r="F41" s="19"/>
      <c r="G41" s="19"/>
      <c r="H41" s="19"/>
      <c r="I41" s="19"/>
      <c r="J41" s="19"/>
      <c r="K41" s="19"/>
      <c r="L41" s="19"/>
      <c r="M41" s="19"/>
      <c r="N41" s="19"/>
      <c r="O41" s="19"/>
      <c r="P41" s="19"/>
      <c r="Q41" s="19"/>
      <c r="R41" s="19"/>
      <c r="S41" s="19"/>
      <c r="T41" s="19"/>
      <c r="U41" s="19"/>
      <c r="V41" s="19"/>
    </row>
  </sheetData>
  <conditionalFormatting sqref="C3:V20 C24:V41">
    <cfRule type="cellIs" dxfId="0" priority="1" operator="equal">
      <formula>0</formula>
    </cfRule>
  </conditionalFormatting>
  <pageMargins left="0.75" right="0.75" top="1" bottom="1" header="0.5" footer="0.5"/>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S12"/>
  <sheetViews>
    <sheetView workbookViewId="0">
      <pane xSplit="2" ySplit="1" topLeftCell="C2" activePane="bottomRight" state="frozen"/>
      <selection pane="topRight" activeCell="C1" sqref="C1"/>
      <selection pane="bottomLeft" activeCell="A2" sqref="A2"/>
      <selection pane="bottomRight" activeCell="P7" sqref="P7:Q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3" width="9" style="28" customWidth="1"/>
    <col min="14" max="14" width="16.88671875" style="28" customWidth="1"/>
    <col min="15" max="17" width="14.44140625" style="28" customWidth="1"/>
    <col min="18" max="18" width="12.33203125" customWidth="1"/>
    <col min="19" max="19" width="17.44140625" customWidth="1"/>
  </cols>
  <sheetData>
    <row r="1" spans="1:19" ht="63.6" thickBot="1">
      <c r="A1" s="23" t="s">
        <v>30</v>
      </c>
      <c r="B1" s="24" t="s">
        <v>31</v>
      </c>
      <c r="C1" s="24" t="s">
        <v>32</v>
      </c>
      <c r="D1" s="24" t="s">
        <v>34</v>
      </c>
      <c r="E1" s="25" t="str">
        <f>Etiquettes!$A$7</f>
        <v>Unité</v>
      </c>
      <c r="F1" s="25" t="str">
        <f>Etiquettes!$A$4</f>
        <v>Filière</v>
      </c>
      <c r="G1" s="25" t="str">
        <f>Etiquettes!$A$6</f>
        <v>Année</v>
      </c>
      <c r="H1" s="25" t="str">
        <f>Etiquettes!$A$5</f>
        <v>Territoire</v>
      </c>
      <c r="I1" s="25" t="str">
        <f>Etiquettes!$A$12</f>
        <v>Traduction</v>
      </c>
      <c r="J1" s="25" t="str">
        <f>Etiquettes!$A$10</f>
        <v>Hypothèse</v>
      </c>
      <c r="K1" s="25" t="str">
        <f>Etiquettes!$A$9</f>
        <v>Source</v>
      </c>
      <c r="L1" s="25" t="str">
        <f>Etiquettes!$A$13</f>
        <v>Onglet source fichier Excel</v>
      </c>
      <c r="M1" s="25" t="str">
        <f>Etiquettes!$A$11</f>
        <v>Type de donnée collectée</v>
      </c>
      <c r="N1" s="25" t="str">
        <f>Etiquettes!$A$8</f>
        <v>Information collectée</v>
      </c>
      <c r="O1" s="25" t="str">
        <f>Etiquettes!$A$15</f>
        <v>Fiabilité des données</v>
      </c>
      <c r="P1" s="25" t="str">
        <f>Etiquettes!$A$16</f>
        <v>Méthode</v>
      </c>
      <c r="Q1" s="25" t="str">
        <f>Etiquettes!$A$17</f>
        <v>Analyse des résultats</v>
      </c>
      <c r="R1" s="24" t="s">
        <v>3</v>
      </c>
      <c r="S1" s="26" t="s">
        <v>5</v>
      </c>
    </row>
    <row r="2" spans="1:19">
      <c r="A2" t="str">
        <f>Produits!$B$3</f>
        <v>Veaux</v>
      </c>
      <c r="B2" t="str">
        <f>Secteurs!$B$5</f>
        <v>Abattage / découpe de veaux</v>
      </c>
      <c r="C2" s="67">
        <f>'Abattages - AGRESTE'!G4/'Anatomie - Blézat'!$D$20/10^3</f>
        <v>308.85389552238803</v>
      </c>
      <c r="E2" s="27" t="str">
        <f>Etiquettes!$C$7</f>
        <v>kt</v>
      </c>
      <c r="F2" s="111" t="str">
        <f>Etiquettes!$C$4</f>
        <v>Viande bovine</v>
      </c>
      <c r="G2" s="27">
        <f>Etiquettes!$H$6</f>
        <v>2015</v>
      </c>
      <c r="H2" s="27" t="str">
        <f>Etiquettes!$C$5</f>
        <v>France entière</v>
      </c>
      <c r="I2" s="111" t="s">
        <v>489</v>
      </c>
      <c r="J2" s="27"/>
      <c r="K2" t="s">
        <v>486</v>
      </c>
      <c r="L2" s="111" t="str" cm="1">
        <f t="array" aca="1" ref="L2" ca="1">[1]!NOM_FEUILLE('Abattages - AGRESTE'!$A$1)</f>
        <v>Abattages - AGRESTE</v>
      </c>
      <c r="M2" s="27" t="str">
        <f>Etiquettes!$H$11</f>
        <v>Volume</v>
      </c>
      <c r="N2" s="112" t="str">
        <f>_xlfn.CONCAT(I2,IF(OR(ISBLANK(C2),ISERROR(C2)),"",_xlfn.CONCAT(" = ",MROUND(C2,1)," ",E2," (",K2,")")))</f>
        <v>Abattages de veaux = 309 kt (Agreste - Statistique Agricole Annuelle - SSP)</v>
      </c>
      <c r="O2" s="27" t="str">
        <f>Etiquettes!$H$15</f>
        <v>Fiable</v>
      </c>
      <c r="P2" s="111" t="str">
        <f>Etiquettes!$H$16</f>
        <v>Données collectées</v>
      </c>
      <c r="Q2" s="111" t="str">
        <f>Etiquettes!$H$17</f>
        <v>Donnée collectée (valeur du flux ou coefficient)</v>
      </c>
      <c r="R2" t="s">
        <v>456</v>
      </c>
      <c r="S2" s="205" t="s">
        <v>222</v>
      </c>
    </row>
    <row r="3" spans="1:19">
      <c r="A3" t="str">
        <f>Produits!$B$4</f>
        <v>Gros bovins</v>
      </c>
      <c r="B3" t="str">
        <f>Secteurs!$B$6</f>
        <v>Abattage / découpe de gros bovins</v>
      </c>
      <c r="C3" s="67">
        <f>'Abattages - AGRESTE'!G7/'Anatomie - Blézat'!$D$7/10^3</f>
        <v>2309.6946216216211</v>
      </c>
      <c r="E3" s="27" t="str">
        <f>Etiquettes!$C$7</f>
        <v>kt</v>
      </c>
      <c r="F3" s="111" t="str">
        <f>Etiquettes!$C$4</f>
        <v>Viande bovine</v>
      </c>
      <c r="G3" s="27">
        <f>Etiquettes!$H$6</f>
        <v>2015</v>
      </c>
      <c r="H3" s="27" t="str">
        <f>Etiquettes!$C$5</f>
        <v>France entière</v>
      </c>
      <c r="I3" s="111" t="s">
        <v>490</v>
      </c>
      <c r="J3" s="27"/>
      <c r="K3" t="s">
        <v>486</v>
      </c>
      <c r="L3" s="111" t="str" cm="1">
        <f t="array" aca="1" ref="L3" ca="1">[1]!NOM_FEUILLE('Abattages - AGRESTE'!$A$1)</f>
        <v>Abattages - AGRESTE</v>
      </c>
      <c r="M3" s="27" t="str">
        <f>Etiquettes!$H$11</f>
        <v>Volume</v>
      </c>
      <c r="N3" s="112" t="str">
        <f t="shared" ref="N3:N7" si="0">_xlfn.CONCAT(I3,IF(OR(ISBLANK(C3),ISERROR(C3)),"",_xlfn.CONCAT(" = ",MROUND(C3,1)," ",E3," (",K3,")")))</f>
        <v>Abattages de gros bovins = 2310 kt (Agreste - Statistique Agricole Annuelle - SSP)</v>
      </c>
      <c r="O3" s="27" t="str">
        <f>Etiquettes!$H$15</f>
        <v>Fiable</v>
      </c>
      <c r="P3" s="111" t="str">
        <f>Etiquettes!$H$16</f>
        <v>Données collectées</v>
      </c>
      <c r="Q3" s="111" t="str">
        <f>Etiquettes!$H$17</f>
        <v>Donnée collectée (valeur du flux ou coefficient)</v>
      </c>
      <c r="R3" t="s">
        <v>456</v>
      </c>
      <c r="S3" s="205"/>
    </row>
    <row r="4" spans="1:19">
      <c r="A4" t="str">
        <f>Produits!$B$3</f>
        <v>Veaux</v>
      </c>
      <c r="B4" t="str">
        <f>Secteurs!$B$5</f>
        <v>Abattage / découpe de veaux</v>
      </c>
      <c r="C4" s="67">
        <f>'Abattages - AGRESTE'!H4/'Anatomie - Blézat'!$D$20/10^3</f>
        <v>312.15857462686569</v>
      </c>
      <c r="E4" s="27" t="str">
        <f>Etiquettes!$C$7</f>
        <v>kt</v>
      </c>
      <c r="F4" s="111" t="str">
        <f>Etiquettes!$C$4</f>
        <v>Viande bovine</v>
      </c>
      <c r="G4" s="27">
        <f>Etiquettes!$I$6</f>
        <v>2019</v>
      </c>
      <c r="H4" s="27" t="str">
        <f>Etiquettes!$C$5</f>
        <v>France entière</v>
      </c>
      <c r="I4" s="111" t="s">
        <v>489</v>
      </c>
      <c r="J4" s="27"/>
      <c r="K4" t="s">
        <v>486</v>
      </c>
      <c r="L4" s="111" t="str" cm="1">
        <f t="array" aca="1" ref="L4" ca="1">[1]!NOM_FEUILLE('Abattages - AGRESTE'!$A$1)</f>
        <v>Abattages - AGRESTE</v>
      </c>
      <c r="M4" s="27" t="str">
        <f>Etiquettes!$H$11</f>
        <v>Volume</v>
      </c>
      <c r="N4" s="112" t="str">
        <f t="shared" si="0"/>
        <v>Abattages de veaux = 312 kt (Agreste - Statistique Agricole Annuelle - SSP)</v>
      </c>
      <c r="O4" s="27" t="str">
        <f>Etiquettes!$H$15</f>
        <v>Fiable</v>
      </c>
      <c r="P4" s="111" t="str">
        <f>Etiquettes!$H$16</f>
        <v>Données collectées</v>
      </c>
      <c r="Q4" s="111" t="str">
        <f>Etiquettes!$H$17</f>
        <v>Donnée collectée (valeur du flux ou coefficient)</v>
      </c>
      <c r="R4" t="s">
        <v>456</v>
      </c>
      <c r="S4" s="205" t="s">
        <v>222</v>
      </c>
    </row>
    <row r="5" spans="1:19">
      <c r="A5" t="str">
        <f>Produits!$B$4</f>
        <v>Gros bovins</v>
      </c>
      <c r="B5" t="str">
        <f>Secteurs!$B$6</f>
        <v>Abattage / découpe de gros bovins</v>
      </c>
      <c r="C5" s="67">
        <f>'Abattages - AGRESTE'!H7/'Anatomie - Blézat'!$D$7/10^3</f>
        <v>2260.4804054054052</v>
      </c>
      <c r="E5" s="27" t="str">
        <f>Etiquettes!$C$7</f>
        <v>kt</v>
      </c>
      <c r="F5" s="111" t="str">
        <f>Etiquettes!$C$4</f>
        <v>Viande bovine</v>
      </c>
      <c r="G5" s="27">
        <f>Etiquettes!$I$6</f>
        <v>2019</v>
      </c>
      <c r="H5" s="27" t="str">
        <f>Etiquettes!$C$5</f>
        <v>France entière</v>
      </c>
      <c r="I5" s="111" t="s">
        <v>490</v>
      </c>
      <c r="J5" s="27"/>
      <c r="K5" t="s">
        <v>486</v>
      </c>
      <c r="L5" s="111" t="str" cm="1">
        <f t="array" aca="1" ref="L5" ca="1">[1]!NOM_FEUILLE('Abattages - AGRESTE'!$A$1)</f>
        <v>Abattages - AGRESTE</v>
      </c>
      <c r="M5" s="27" t="str">
        <f>Etiquettes!$H$11</f>
        <v>Volume</v>
      </c>
      <c r="N5" s="112" t="str">
        <f t="shared" si="0"/>
        <v>Abattages de gros bovins = 2260 kt (Agreste - Statistique Agricole Annuelle - SSP)</v>
      </c>
      <c r="O5" s="27" t="str">
        <f>Etiquettes!$H$15</f>
        <v>Fiable</v>
      </c>
      <c r="P5" s="111" t="str">
        <f>Etiquettes!$H$16</f>
        <v>Données collectées</v>
      </c>
      <c r="Q5" s="111" t="str">
        <f>Etiquettes!$H$17</f>
        <v>Donnée collectée (valeur du flux ou coefficient)</v>
      </c>
      <c r="R5" t="s">
        <v>456</v>
      </c>
      <c r="S5" s="205"/>
    </row>
    <row r="6" spans="1:19">
      <c r="A6" t="str">
        <f>Produits!$B$3</f>
        <v>Veaux</v>
      </c>
      <c r="B6" t="str">
        <f>Secteurs!$B$5</f>
        <v>Abattage / découpe de veaux</v>
      </c>
      <c r="C6" s="67">
        <f>'Abattages - AGRESTE'!I4/'Anatomie - Blézat'!$D$20/10^3</f>
        <v>257.4977686567164</v>
      </c>
      <c r="E6" s="27" t="str">
        <f>Etiquettes!$C$7</f>
        <v>kt</v>
      </c>
      <c r="F6" s="111" t="str">
        <f>Etiquettes!$C$4</f>
        <v>Viande bovine</v>
      </c>
      <c r="G6" s="27">
        <f>Etiquettes!$J$6</f>
        <v>2023</v>
      </c>
      <c r="H6" s="27" t="str">
        <f>Etiquettes!$C$5</f>
        <v>France entière</v>
      </c>
      <c r="I6" s="111" t="s">
        <v>489</v>
      </c>
      <c r="J6" s="27"/>
      <c r="K6" t="s">
        <v>486</v>
      </c>
      <c r="L6" s="111" t="str" cm="1">
        <f t="array" aca="1" ref="L6" ca="1">[1]!NOM_FEUILLE('Abattages - AGRESTE'!$A$1)</f>
        <v>Abattages - AGRESTE</v>
      </c>
      <c r="M6" s="27" t="str">
        <f>Etiquettes!$H$11</f>
        <v>Volume</v>
      </c>
      <c r="N6" s="112" t="str">
        <f t="shared" si="0"/>
        <v>Abattages de veaux = 257 kt (Agreste - Statistique Agricole Annuelle - SSP)</v>
      </c>
      <c r="O6" s="27" t="str">
        <f>Etiquettes!$H$15</f>
        <v>Fiable</v>
      </c>
      <c r="P6" s="111" t="str">
        <f>Etiquettes!$H$16</f>
        <v>Données collectées</v>
      </c>
      <c r="Q6" s="111" t="str">
        <f>Etiquettes!$H$17</f>
        <v>Donnée collectée (valeur du flux ou coefficient)</v>
      </c>
      <c r="R6" t="s">
        <v>456</v>
      </c>
      <c r="S6" s="205" t="s">
        <v>222</v>
      </c>
    </row>
    <row r="7" spans="1:19">
      <c r="A7" t="str">
        <f>Produits!$B$4</f>
        <v>Gros bovins</v>
      </c>
      <c r="B7" t="str">
        <f>Secteurs!$B$6</f>
        <v>Abattage / découpe de gros bovins</v>
      </c>
      <c r="C7" s="67">
        <f>'Abattages - AGRESTE'!I7/'Anatomie - Blézat'!$D$7/10^3</f>
        <v>2084.8661621621618</v>
      </c>
      <c r="E7" s="27" t="str">
        <f>Etiquettes!$C$7</f>
        <v>kt</v>
      </c>
      <c r="F7" s="111" t="str">
        <f>Etiquettes!$C$4</f>
        <v>Viande bovine</v>
      </c>
      <c r="G7" s="27">
        <f>Etiquettes!$J$6</f>
        <v>2023</v>
      </c>
      <c r="H7" s="27" t="str">
        <f>Etiquettes!$C$5</f>
        <v>France entière</v>
      </c>
      <c r="I7" s="111" t="s">
        <v>490</v>
      </c>
      <c r="J7" s="27"/>
      <c r="K7" t="s">
        <v>486</v>
      </c>
      <c r="L7" s="111" t="str" cm="1">
        <f t="array" aca="1" ref="L7" ca="1">[1]!NOM_FEUILLE('Abattages - AGRESTE'!$A$1)</f>
        <v>Abattages - AGRESTE</v>
      </c>
      <c r="M7" s="27" t="str">
        <f>Etiquettes!$H$11</f>
        <v>Volume</v>
      </c>
      <c r="N7" s="112" t="str">
        <f t="shared" si="0"/>
        <v>Abattages de gros bovins = 2085 kt (Agreste - Statistique Agricole Annuelle - SSP)</v>
      </c>
      <c r="O7" s="27" t="str">
        <f>Etiquettes!$H$15</f>
        <v>Fiable</v>
      </c>
      <c r="P7" s="111" t="str">
        <f>Etiquettes!$H$16</f>
        <v>Données collectées</v>
      </c>
      <c r="Q7" s="111" t="str">
        <f>Etiquettes!$H$17</f>
        <v>Donnée collectée (valeur du flux ou coefficient)</v>
      </c>
      <c r="R7" t="s">
        <v>456</v>
      </c>
      <c r="S7" s="205"/>
    </row>
    <row r="8" spans="1:19">
      <c r="C8" s="67"/>
    </row>
    <row r="9" spans="1:19">
      <c r="C9" s="67"/>
    </row>
    <row r="10" spans="1:19">
      <c r="C10" s="67"/>
    </row>
    <row r="11" spans="1:19">
      <c r="C11" s="67"/>
    </row>
    <row r="12" spans="1:19">
      <c r="C12" s="67"/>
    </row>
  </sheetData>
  <mergeCells count="3">
    <mergeCell ref="S6:S7"/>
    <mergeCell ref="S2:S3"/>
    <mergeCell ref="S4:S5"/>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Z40" sqref="Z40"/>
    </sheetView>
  </sheetViews>
  <sheetFormatPr baseColWidth="10" defaultRowHeight="14.4"/>
  <sheetData>
    <row r="1" spans="1:13">
      <c r="A1" s="41" t="s">
        <v>94</v>
      </c>
      <c r="B1" s="41" t="s">
        <v>95</v>
      </c>
      <c r="C1" s="41" t="s">
        <v>96</v>
      </c>
      <c r="D1" s="41" t="s">
        <v>97</v>
      </c>
      <c r="E1" s="41" t="s">
        <v>98</v>
      </c>
      <c r="F1" s="41" t="s">
        <v>99</v>
      </c>
      <c r="G1" s="41" t="s">
        <v>100</v>
      </c>
      <c r="H1" s="41" t="s">
        <v>101</v>
      </c>
      <c r="I1" s="41" t="s">
        <v>102</v>
      </c>
      <c r="K1" t="s">
        <v>139</v>
      </c>
      <c r="L1" t="s">
        <v>140</v>
      </c>
      <c r="M1" t="s">
        <v>141</v>
      </c>
    </row>
    <row r="2" spans="1:13">
      <c r="A2" s="42" t="s">
        <v>103</v>
      </c>
      <c r="B2" s="42"/>
      <c r="C2" s="42"/>
      <c r="D2" s="42"/>
      <c r="E2" s="42"/>
      <c r="F2" s="42"/>
      <c r="G2" s="42">
        <v>1454751</v>
      </c>
      <c r="H2" s="42">
        <v>1429441</v>
      </c>
      <c r="I2" s="42">
        <v>1300751</v>
      </c>
      <c r="K2" t="s">
        <v>142</v>
      </c>
      <c r="L2" t="s">
        <v>143</v>
      </c>
      <c r="M2" t="s">
        <v>144</v>
      </c>
    </row>
    <row r="3" spans="1:13">
      <c r="A3" s="42" t="s">
        <v>103</v>
      </c>
      <c r="B3" s="42" t="s">
        <v>59</v>
      </c>
      <c r="C3" s="42"/>
      <c r="D3" s="42"/>
      <c r="E3" s="42"/>
      <c r="F3" s="42"/>
      <c r="G3" s="42">
        <v>1454665</v>
      </c>
      <c r="H3" s="42">
        <v>1429404</v>
      </c>
      <c r="I3" s="42">
        <v>1300715</v>
      </c>
      <c r="K3" t="s">
        <v>145</v>
      </c>
      <c r="L3" t="s">
        <v>145</v>
      </c>
      <c r="M3" t="s">
        <v>146</v>
      </c>
    </row>
    <row r="4" spans="1:13">
      <c r="A4" s="42" t="s">
        <v>103</v>
      </c>
      <c r="B4" s="42" t="s">
        <v>59</v>
      </c>
      <c r="C4" s="42" t="s">
        <v>104</v>
      </c>
      <c r="D4" s="42"/>
      <c r="E4" s="42"/>
      <c r="F4" s="42"/>
      <c r="G4" s="79">
        <v>179162</v>
      </c>
      <c r="H4" s="79">
        <v>181079</v>
      </c>
      <c r="I4" s="79">
        <v>149371</v>
      </c>
    </row>
    <row r="5" spans="1:13">
      <c r="A5" s="42" t="s">
        <v>103</v>
      </c>
      <c r="B5" s="42" t="s">
        <v>59</v>
      </c>
      <c r="C5" s="42" t="s">
        <v>104</v>
      </c>
      <c r="D5" s="42" t="s">
        <v>105</v>
      </c>
      <c r="E5" s="42"/>
      <c r="F5" s="42"/>
      <c r="G5" s="42">
        <v>179162</v>
      </c>
      <c r="H5" s="42">
        <v>181079</v>
      </c>
      <c r="I5" s="42">
        <v>149371</v>
      </c>
      <c r="K5" t="s">
        <v>35</v>
      </c>
      <c r="L5" t="s">
        <v>147</v>
      </c>
    </row>
    <row r="6" spans="1:13">
      <c r="A6" s="42" t="s">
        <v>103</v>
      </c>
      <c r="B6" s="42" t="s">
        <v>59</v>
      </c>
      <c r="C6" s="42" t="s">
        <v>104</v>
      </c>
      <c r="D6" s="42" t="s">
        <v>106</v>
      </c>
      <c r="E6" s="42"/>
      <c r="F6" s="42"/>
      <c r="G6" s="42"/>
      <c r="H6" s="42"/>
      <c r="I6" s="42"/>
      <c r="K6" t="s">
        <v>148</v>
      </c>
      <c r="L6" t="s">
        <v>149</v>
      </c>
    </row>
    <row r="7" spans="1:13">
      <c r="A7" s="42" t="s">
        <v>103</v>
      </c>
      <c r="B7" s="42" t="s">
        <v>59</v>
      </c>
      <c r="C7" s="42" t="s">
        <v>107</v>
      </c>
      <c r="D7" s="42"/>
      <c r="E7" s="42"/>
      <c r="F7" s="42"/>
      <c r="G7" s="79">
        <v>1275503</v>
      </c>
      <c r="H7" s="79">
        <v>1248325</v>
      </c>
      <c r="I7" s="79">
        <v>1151344</v>
      </c>
    </row>
    <row r="8" spans="1:13">
      <c r="A8" s="42" t="s">
        <v>103</v>
      </c>
      <c r="B8" s="42" t="s">
        <v>59</v>
      </c>
      <c r="C8" s="42" t="s">
        <v>107</v>
      </c>
      <c r="D8" s="42" t="s">
        <v>108</v>
      </c>
      <c r="E8" s="42"/>
      <c r="F8" s="42"/>
      <c r="G8" s="42">
        <v>208616</v>
      </c>
      <c r="H8" s="42">
        <v>219785</v>
      </c>
      <c r="I8" s="42">
        <v>216047</v>
      </c>
    </row>
    <row r="9" spans="1:13">
      <c r="A9" s="42" t="s">
        <v>103</v>
      </c>
      <c r="B9" s="42" t="s">
        <v>59</v>
      </c>
      <c r="C9" s="42" t="s">
        <v>107</v>
      </c>
      <c r="D9" s="42" t="s">
        <v>108</v>
      </c>
      <c r="E9" s="42" t="s">
        <v>109</v>
      </c>
      <c r="F9" s="42"/>
      <c r="G9" s="42">
        <v>6634</v>
      </c>
      <c r="H9" s="42">
        <v>5922</v>
      </c>
      <c r="I9" s="42">
        <v>5176</v>
      </c>
    </row>
    <row r="10" spans="1:13">
      <c r="A10" s="42" t="s">
        <v>103</v>
      </c>
      <c r="B10" s="42" t="s">
        <v>59</v>
      </c>
      <c r="C10" s="42" t="s">
        <v>107</v>
      </c>
      <c r="D10" s="42" t="s">
        <v>108</v>
      </c>
      <c r="E10" s="42" t="s">
        <v>110</v>
      </c>
      <c r="F10" s="42"/>
      <c r="G10" s="42">
        <v>201982</v>
      </c>
      <c r="H10" s="42">
        <v>213863</v>
      </c>
      <c r="I10" s="42">
        <v>210871</v>
      </c>
    </row>
    <row r="11" spans="1:13">
      <c r="A11" s="42" t="s">
        <v>103</v>
      </c>
      <c r="B11" s="42" t="s">
        <v>59</v>
      </c>
      <c r="C11" s="42" t="s">
        <v>107</v>
      </c>
      <c r="D11" s="42" t="s">
        <v>111</v>
      </c>
      <c r="E11" s="42"/>
      <c r="F11" s="42"/>
      <c r="G11" s="42">
        <v>577221</v>
      </c>
      <c r="H11" s="42">
        <v>597876</v>
      </c>
      <c r="I11" s="42">
        <v>532982</v>
      </c>
    </row>
    <row r="12" spans="1:13">
      <c r="A12" s="42" t="s">
        <v>103</v>
      </c>
      <c r="B12" s="42" t="s">
        <v>59</v>
      </c>
      <c r="C12" s="42" t="s">
        <v>107</v>
      </c>
      <c r="D12" s="42" t="s">
        <v>111</v>
      </c>
      <c r="E12" s="42" t="s">
        <v>112</v>
      </c>
      <c r="F12" s="42"/>
      <c r="G12" s="42">
        <v>288809</v>
      </c>
      <c r="H12" s="42">
        <v>279771</v>
      </c>
      <c r="I12" s="42">
        <v>243655</v>
      </c>
    </row>
    <row r="13" spans="1:13">
      <c r="A13" s="42" t="s">
        <v>103</v>
      </c>
      <c r="B13" s="42" t="s">
        <v>59</v>
      </c>
      <c r="C13" s="42" t="s">
        <v>107</v>
      </c>
      <c r="D13" s="42" t="s">
        <v>111</v>
      </c>
      <c r="E13" s="42" t="s">
        <v>113</v>
      </c>
      <c r="F13" s="42"/>
      <c r="G13" s="42">
        <v>288412</v>
      </c>
      <c r="H13" s="42">
        <v>318105</v>
      </c>
      <c r="I13" s="42">
        <v>289327</v>
      </c>
    </row>
    <row r="14" spans="1:13">
      <c r="A14" s="42" t="s">
        <v>103</v>
      </c>
      <c r="B14" s="42" t="s">
        <v>59</v>
      </c>
      <c r="C14" s="42" t="s">
        <v>107</v>
      </c>
      <c r="D14" s="42" t="s">
        <v>114</v>
      </c>
      <c r="E14" s="42"/>
      <c r="F14" s="42"/>
      <c r="G14" s="42">
        <v>489666</v>
      </c>
      <c r="H14" s="42">
        <v>430664</v>
      </c>
      <c r="I14" s="42">
        <v>402315</v>
      </c>
    </row>
    <row r="15" spans="1:13">
      <c r="A15" s="42" t="s">
        <v>103</v>
      </c>
      <c r="B15" s="42" t="s">
        <v>59</v>
      </c>
      <c r="C15" s="42" t="s">
        <v>107</v>
      </c>
      <c r="D15" s="42" t="s">
        <v>114</v>
      </c>
      <c r="E15" s="42" t="s">
        <v>115</v>
      </c>
      <c r="F15" s="42"/>
      <c r="G15" s="42">
        <v>385758</v>
      </c>
      <c r="H15" s="42">
        <v>342928</v>
      </c>
      <c r="I15" s="42">
        <v>323305</v>
      </c>
    </row>
    <row r="16" spans="1:13">
      <c r="A16" s="42" t="s">
        <v>103</v>
      </c>
      <c r="B16" s="42" t="s">
        <v>59</v>
      </c>
      <c r="C16" s="42" t="s">
        <v>107</v>
      </c>
      <c r="D16" s="42" t="s">
        <v>114</v>
      </c>
      <c r="E16" s="42" t="s">
        <v>115</v>
      </c>
      <c r="F16" s="42" t="s">
        <v>116</v>
      </c>
      <c r="G16" s="42">
        <v>15364</v>
      </c>
      <c r="H16" s="42">
        <v>12615</v>
      </c>
      <c r="I16" s="42">
        <v>10162</v>
      </c>
    </row>
    <row r="17" spans="1:9">
      <c r="A17" s="42" t="s">
        <v>103</v>
      </c>
      <c r="B17" s="42" t="s">
        <v>59</v>
      </c>
      <c r="C17" s="42" t="s">
        <v>107</v>
      </c>
      <c r="D17" s="42" t="s">
        <v>114</v>
      </c>
      <c r="E17" s="42" t="s">
        <v>115</v>
      </c>
      <c r="F17" s="42" t="s">
        <v>117</v>
      </c>
      <c r="G17" s="42">
        <v>370394</v>
      </c>
      <c r="H17" s="42">
        <v>330313</v>
      </c>
      <c r="I17" s="42">
        <v>313143</v>
      </c>
    </row>
    <row r="18" spans="1:9">
      <c r="A18" s="42" t="s">
        <v>103</v>
      </c>
      <c r="B18" s="42" t="s">
        <v>59</v>
      </c>
      <c r="C18" s="42" t="s">
        <v>107</v>
      </c>
      <c r="D18" s="42" t="s">
        <v>114</v>
      </c>
      <c r="E18" s="42" t="s">
        <v>118</v>
      </c>
      <c r="F18" s="42"/>
      <c r="G18" s="42">
        <v>103908</v>
      </c>
      <c r="H18" s="42">
        <v>87736</v>
      </c>
      <c r="I18" s="42">
        <v>79010</v>
      </c>
    </row>
    <row r="19" spans="1:9">
      <c r="A19" s="42" t="s">
        <v>103</v>
      </c>
      <c r="B19" s="42" t="s">
        <v>59</v>
      </c>
      <c r="C19" s="42" t="s">
        <v>107</v>
      </c>
      <c r="D19" s="42" t="s">
        <v>114</v>
      </c>
      <c r="E19" s="42" t="s">
        <v>118</v>
      </c>
      <c r="F19" s="42" t="s">
        <v>119</v>
      </c>
      <c r="G19" s="42">
        <v>71262</v>
      </c>
      <c r="H19" s="42">
        <v>55951</v>
      </c>
      <c r="I19" s="42">
        <v>46118</v>
      </c>
    </row>
    <row r="20" spans="1:9">
      <c r="A20" s="42" t="s">
        <v>103</v>
      </c>
      <c r="B20" s="42" t="s">
        <v>59</v>
      </c>
      <c r="C20" s="42" t="s">
        <v>107</v>
      </c>
      <c r="D20" s="42" t="s">
        <v>114</v>
      </c>
      <c r="E20" s="42" t="s">
        <v>118</v>
      </c>
      <c r="F20" s="42" t="s">
        <v>120</v>
      </c>
      <c r="G20" s="42">
        <v>32646</v>
      </c>
      <c r="H20" s="42">
        <v>31785</v>
      </c>
      <c r="I20" s="42">
        <v>32892</v>
      </c>
    </row>
    <row r="21" spans="1:9">
      <c r="A21" s="42" t="s">
        <v>103</v>
      </c>
      <c r="B21" s="42" t="s">
        <v>59</v>
      </c>
      <c r="C21" s="42" t="s">
        <v>121</v>
      </c>
      <c r="D21" s="42"/>
      <c r="E21" s="42"/>
      <c r="F21" s="42"/>
      <c r="G21" s="42"/>
      <c r="H21" s="42"/>
      <c r="I21" s="42"/>
    </row>
    <row r="22" spans="1:9">
      <c r="A22" s="42" t="s">
        <v>103</v>
      </c>
      <c r="B22" s="42" t="s">
        <v>122</v>
      </c>
      <c r="C22" s="42"/>
      <c r="D22" s="42"/>
      <c r="E22" s="42"/>
      <c r="F22" s="42"/>
      <c r="G22" s="42">
        <v>86</v>
      </c>
      <c r="H22" s="42">
        <v>37</v>
      </c>
      <c r="I22" s="42">
        <v>36</v>
      </c>
    </row>
    <row r="23" spans="1:9">
      <c r="A23" s="42" t="s">
        <v>103</v>
      </c>
      <c r="B23" s="42" t="s">
        <v>122</v>
      </c>
      <c r="C23" s="42" t="s">
        <v>123</v>
      </c>
      <c r="D23" s="42"/>
      <c r="E23" s="42"/>
      <c r="F23" s="42"/>
      <c r="G23" s="42">
        <v>86</v>
      </c>
      <c r="H23" s="42">
        <v>37</v>
      </c>
      <c r="I23" s="42">
        <v>36</v>
      </c>
    </row>
    <row r="24" spans="1:9">
      <c r="A24" s="42" t="s">
        <v>124</v>
      </c>
      <c r="B24" s="42"/>
      <c r="C24" s="42"/>
      <c r="D24" s="42"/>
      <c r="E24" s="42"/>
      <c r="F24" s="42"/>
      <c r="G24" s="42">
        <v>2182955</v>
      </c>
      <c r="H24" s="42">
        <v>2201965</v>
      </c>
      <c r="I24" s="42">
        <v>2064919</v>
      </c>
    </row>
    <row r="25" spans="1:9">
      <c r="A25" s="42" t="s">
        <v>124</v>
      </c>
      <c r="B25" s="42" t="s">
        <v>125</v>
      </c>
      <c r="C25" s="42"/>
      <c r="D25" s="42"/>
      <c r="E25" s="42"/>
      <c r="F25" s="42"/>
      <c r="G25" s="42">
        <v>2182934</v>
      </c>
      <c r="H25" s="42">
        <v>2201944</v>
      </c>
      <c r="I25" s="42">
        <v>2064913</v>
      </c>
    </row>
    <row r="26" spans="1:9">
      <c r="A26" s="42" t="s">
        <v>124</v>
      </c>
      <c r="B26" s="42" t="s">
        <v>125</v>
      </c>
      <c r="C26" s="42" t="s">
        <v>126</v>
      </c>
      <c r="D26" s="42"/>
      <c r="E26" s="42"/>
      <c r="F26" s="42"/>
      <c r="G26" s="42">
        <v>4142</v>
      </c>
      <c r="H26" s="42">
        <v>4383</v>
      </c>
      <c r="I26" s="42">
        <v>3863</v>
      </c>
    </row>
    <row r="27" spans="1:9">
      <c r="A27" s="42" t="s">
        <v>124</v>
      </c>
      <c r="B27" s="42" t="s">
        <v>125</v>
      </c>
      <c r="C27" s="42" t="s">
        <v>127</v>
      </c>
      <c r="D27" s="42"/>
      <c r="E27" s="42"/>
      <c r="F27" s="42"/>
      <c r="G27" s="42">
        <v>2118065</v>
      </c>
      <c r="H27" s="42">
        <v>2139989</v>
      </c>
      <c r="I27" s="42">
        <v>2008270</v>
      </c>
    </row>
    <row r="28" spans="1:9">
      <c r="A28" s="42" t="s">
        <v>124</v>
      </c>
      <c r="B28" s="42" t="s">
        <v>125</v>
      </c>
      <c r="C28" s="42" t="s">
        <v>128</v>
      </c>
      <c r="D28" s="42"/>
      <c r="E28" s="42"/>
      <c r="F28" s="42"/>
      <c r="G28" s="42">
        <v>60727</v>
      </c>
      <c r="H28" s="42">
        <v>57572</v>
      </c>
      <c r="I28" s="42">
        <v>52780</v>
      </c>
    </row>
    <row r="29" spans="1:9">
      <c r="A29" s="42" t="s">
        <v>124</v>
      </c>
      <c r="B29" s="42" t="s">
        <v>129</v>
      </c>
      <c r="C29" s="42"/>
      <c r="D29" s="42"/>
      <c r="E29" s="42"/>
      <c r="F29" s="42"/>
      <c r="G29" s="42">
        <v>21</v>
      </c>
      <c r="H29" s="42">
        <v>21</v>
      </c>
      <c r="I29" s="42">
        <v>6</v>
      </c>
    </row>
    <row r="30" spans="1:9">
      <c r="A30" s="42" t="s">
        <v>124</v>
      </c>
      <c r="B30" s="42" t="s">
        <v>129</v>
      </c>
      <c r="C30" s="42" t="s">
        <v>130</v>
      </c>
      <c r="D30" s="42"/>
      <c r="E30" s="42"/>
      <c r="F30" s="42"/>
      <c r="G30" s="42">
        <v>21</v>
      </c>
      <c r="H30" s="42">
        <v>21</v>
      </c>
      <c r="I30" s="42">
        <v>6</v>
      </c>
    </row>
    <row r="31" spans="1:9">
      <c r="A31" s="42" t="s">
        <v>131</v>
      </c>
      <c r="B31" s="42"/>
      <c r="C31" s="42"/>
      <c r="D31" s="42"/>
      <c r="E31" s="42"/>
      <c r="F31" s="42"/>
      <c r="G31" s="42">
        <v>80452</v>
      </c>
      <c r="H31" s="42">
        <v>80835</v>
      </c>
      <c r="I31" s="42">
        <v>72935</v>
      </c>
    </row>
    <row r="32" spans="1:9">
      <c r="A32" s="42" t="s">
        <v>131</v>
      </c>
      <c r="B32" s="42" t="s">
        <v>132</v>
      </c>
      <c r="C32" s="42"/>
      <c r="D32" s="42"/>
      <c r="E32" s="42"/>
      <c r="F32" s="42"/>
      <c r="G32" s="42">
        <v>65908</v>
      </c>
      <c r="H32" s="42">
        <v>66250</v>
      </c>
      <c r="I32" s="42">
        <v>59264</v>
      </c>
    </row>
    <row r="33" spans="1:9">
      <c r="A33" s="42" t="s">
        <v>131</v>
      </c>
      <c r="B33" s="42" t="s">
        <v>133</v>
      </c>
      <c r="C33" s="42"/>
      <c r="D33" s="42"/>
      <c r="E33" s="42"/>
      <c r="F33" s="42"/>
      <c r="G33" s="42">
        <v>14544</v>
      </c>
      <c r="H33" s="42">
        <v>14585</v>
      </c>
      <c r="I33" s="42">
        <v>13671</v>
      </c>
    </row>
    <row r="34" spans="1:9">
      <c r="A34" s="42" t="s">
        <v>134</v>
      </c>
      <c r="B34" s="42"/>
      <c r="C34" s="42"/>
      <c r="D34" s="42"/>
      <c r="E34" s="42"/>
      <c r="F34" s="42"/>
      <c r="G34" s="42">
        <v>6236</v>
      </c>
      <c r="H34" s="42">
        <v>6347</v>
      </c>
      <c r="I34" s="42">
        <v>5861</v>
      </c>
    </row>
    <row r="35" spans="1:9">
      <c r="A35" s="42" t="s">
        <v>134</v>
      </c>
      <c r="B35" s="42" t="s">
        <v>135</v>
      </c>
      <c r="C35" s="42"/>
      <c r="D35" s="42"/>
      <c r="E35" s="42"/>
      <c r="F35" s="42"/>
      <c r="G35" s="42">
        <v>3267</v>
      </c>
      <c r="H35" s="42">
        <v>3313</v>
      </c>
      <c r="I35" s="42">
        <v>2572</v>
      </c>
    </row>
    <row r="36" spans="1:9">
      <c r="A36" s="42" t="s">
        <v>134</v>
      </c>
      <c r="B36" s="42" t="s">
        <v>136</v>
      </c>
      <c r="C36" s="42"/>
      <c r="D36" s="42"/>
      <c r="E36" s="42"/>
      <c r="F36" s="42"/>
      <c r="G36" s="42">
        <v>2969</v>
      </c>
      <c r="H36" s="42">
        <v>3034</v>
      </c>
      <c r="I36" s="42">
        <v>3289</v>
      </c>
    </row>
    <row r="37" spans="1:9">
      <c r="A37" s="42" t="s">
        <v>137</v>
      </c>
      <c r="B37" s="42"/>
      <c r="C37" s="42"/>
      <c r="D37" s="42"/>
      <c r="E37" s="42"/>
      <c r="F37" s="42"/>
      <c r="G37" s="42">
        <v>4543</v>
      </c>
      <c r="H37" s="42">
        <v>2188</v>
      </c>
      <c r="I37" s="42">
        <v>991</v>
      </c>
    </row>
    <row r="38" spans="1:9">
      <c r="A38" s="42" t="s">
        <v>138</v>
      </c>
      <c r="B38" s="42"/>
      <c r="C38" s="42"/>
      <c r="D38" s="42"/>
      <c r="E38" s="42"/>
      <c r="F38" s="42"/>
      <c r="G38" s="42">
        <v>129</v>
      </c>
      <c r="H38" s="42">
        <v>81</v>
      </c>
      <c r="I38" s="42">
        <v>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7C11E4-4596-453E-AD77-D8158A9FE8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1E0516-099A-4EF6-AF16-CDAF794B49D1}">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3.xml><?xml version="1.0" encoding="utf-8"?>
<ds:datastoreItem xmlns:ds="http://schemas.openxmlformats.org/officeDocument/2006/customXml" ds:itemID="{81FF2D32-0D43-4803-BBB7-0615CED5BF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33</vt:i4>
      </vt:variant>
    </vt:vector>
  </HeadingPairs>
  <TitlesOfParts>
    <vt:vector size="33" baseType="lpstr">
      <vt:lpstr>Informations générales</vt:lpstr>
      <vt:lpstr>SOMMAIRE</vt:lpstr>
      <vt:lpstr>Lecture du fichier</vt:lpstr>
      <vt:lpstr>Etiquettes</vt:lpstr>
      <vt:lpstr>Produits</vt:lpstr>
      <vt:lpstr>Secteurs</vt:lpstr>
      <vt:lpstr>Structure des flux</vt:lpstr>
      <vt:lpstr>Données</vt:lpstr>
      <vt:lpstr>Abattages - AGRESTE</vt:lpstr>
      <vt:lpstr>Données </vt:lpstr>
      <vt:lpstr>Comext - AGRESTE</vt:lpstr>
      <vt:lpstr>Données  </vt:lpstr>
      <vt:lpstr>Fabrication - PRODCOM</vt:lpstr>
      <vt:lpstr>Données   </vt:lpstr>
      <vt:lpstr>Comext - Eurostat</vt:lpstr>
      <vt:lpstr>Allocation bovins</vt:lpstr>
      <vt:lpstr>Contraintes</vt:lpstr>
      <vt:lpstr> Données</vt:lpstr>
      <vt:lpstr>Anatomie - Blézat</vt:lpstr>
      <vt:lpstr>Données    </vt:lpstr>
      <vt:lpstr>Contraintes </vt:lpstr>
      <vt:lpstr>  Données</vt:lpstr>
      <vt:lpstr>Coproduits - SIFCO</vt:lpstr>
      <vt:lpstr>Contraintes  </vt:lpstr>
      <vt:lpstr>   Données</vt:lpstr>
      <vt:lpstr>Consommation - IDELE</vt:lpstr>
      <vt:lpstr>Contraintes   </vt:lpstr>
      <vt:lpstr>    Données</vt:lpstr>
      <vt:lpstr>Débouchés abats - Blézat</vt:lpstr>
      <vt:lpstr>Données     </vt:lpstr>
      <vt:lpstr>Comext de viande - Idele</vt:lpstr>
      <vt:lpstr> Données </vt:lpstr>
      <vt:lpstr>calcul perte de volume carcasse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2026-01-21T04:31:10Z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